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dminNew\Information Disclosure Requirements\2018\Workbooks\"/>
    </mc:Choice>
  </mc:AlternateContent>
  <bookViews>
    <workbookView xWindow="0" yWindow="0" windowWidth="28800" windowHeight="11355" tabRatio="887"/>
  </bookViews>
  <sheets>
    <sheet name="CoverSheet" sheetId="1" r:id="rId1"/>
    <sheet name="TOC" sheetId="115" r:id="rId2"/>
    <sheet name="Instructions" sheetId="3" r:id="rId3"/>
    <sheet name="S1.Analytical Ratios" sheetId="97" r:id="rId4"/>
    <sheet name="S2.Return on Investment" sheetId="102" r:id="rId5"/>
    <sheet name="S3.Regulatory Profit" sheetId="60" r:id="rId6"/>
    <sheet name="S4.RAB Value (Rolled Forward)" sheetId="63" r:id="rId7"/>
    <sheet name="S5a.Regulatory Tax Allowance" sheetId="105" r:id="rId8"/>
    <sheet name="S5b.Related Party Transactions" sheetId="66" r:id="rId9"/>
    <sheet name="S5c.TCSD Allowance" sheetId="103" r:id="rId10"/>
    <sheet name="S5d.Cost Allocations" sheetId="68" r:id="rId11"/>
    <sheet name="S5e.Asset Allocations" sheetId="104" r:id="rId12"/>
    <sheet name="S6a.Actual Expenditure Capex" sheetId="64" r:id="rId13"/>
    <sheet name="S6b.Actual Expenditure Opex" sheetId="77" r:id="rId14"/>
    <sheet name="S7.Actual vs Forecast" sheetId="65" r:id="rId15"/>
    <sheet name="S8.Billed Quantities+Revenues" sheetId="74" r:id="rId16"/>
    <sheet name="S9a.Asset Register" sheetId="57" r:id="rId17"/>
    <sheet name="S9b.Asset Age Profile" sheetId="41" r:id="rId18"/>
    <sheet name="S9c.Overhead Lines" sheetId="86" r:id="rId19"/>
    <sheet name="S9d.Embedded Networks" sheetId="87" r:id="rId20"/>
    <sheet name="S9e.Demand" sheetId="93" r:id="rId21"/>
    <sheet name="S10.Reliability" sheetId="38" r:id="rId22"/>
  </sheets>
  <externalReferences>
    <externalReference r:id="rId23"/>
    <externalReference r:id="rId24"/>
    <externalReference r:id="rId25"/>
    <externalReference r:id="rId26"/>
  </externalReferences>
  <definedNames>
    <definedName name="dd_Basis">'S5b.Related Party Transactions'!$N$39:$N$62</definedName>
    <definedName name="_xlnm.Print_Area" localSheetId="0">CoverSheet!$A$1:$D$17</definedName>
    <definedName name="_xlnm.Print_Area" localSheetId="2">Instructions!$A$1:$C$37</definedName>
    <definedName name="_xlnm.Print_Area" localSheetId="3">'S1.Analytical Ratios'!$A$1:$M$43</definedName>
    <definedName name="_xlnm.Print_Area" localSheetId="21">'S10.Reliability'!$A$1:$K$82</definedName>
    <definedName name="_xlnm.Print_Area" localSheetId="4">'S2.Return on Investment'!$A$1:$N$122</definedName>
    <definedName name="_xlnm.Print_Area" localSheetId="5">'S3.Regulatory Profit'!$A$1:$U$73</definedName>
    <definedName name="_xlnm.Print_Area" localSheetId="6">'S4.RAB Value (Rolled Forward)'!$A$1:$Q$112</definedName>
    <definedName name="_xlnm.Print_Area" localSheetId="7">'S5a.Regulatory Tax Allowance'!$A$1:$K$91</definedName>
    <definedName name="_xlnm.Print_Area" localSheetId="8">'S5b.Related Party Transactions'!$A$1:$L$39</definedName>
    <definedName name="_xlnm.Print_Area" localSheetId="9">'S5c.TCSD Allowance'!$A$1:$P$28</definedName>
    <definedName name="_xlnm.Print_Area" localSheetId="10">'S5d.Cost Allocations'!$A$1:$O$80</definedName>
    <definedName name="_xlnm.Print_Area" localSheetId="11">'S5e.Asset Allocations'!$A$1:$N$81</definedName>
    <definedName name="_xlnm.Print_Area" localSheetId="12">'S6a.Actual Expenditure Capex'!$A$1:$L$130</definedName>
    <definedName name="_xlnm.Print_Area" localSheetId="13">'S6b.Actual Expenditure Opex'!$A$1:$T$24</definedName>
    <definedName name="_xlnm.Print_Area" localSheetId="14">'S7.Actual vs Forecast'!$A$1:$K$45</definedName>
    <definedName name="_xlnm.Print_Area" localSheetId="15">'S8.Billed Quantities+Revenues'!$A$1:$Y$72</definedName>
    <definedName name="_xlnm.Print_Area" localSheetId="16">'S9a.Asset Register'!$A$1:$L$60</definedName>
    <definedName name="_xlnm.Print_Area" localSheetId="17">'S9b.Asset Age Profile'!$A$1:$AK$61</definedName>
    <definedName name="_xlnm.Print_Area" localSheetId="18">'S9c.Overhead Lines'!$A$1:$J$36</definedName>
    <definedName name="_xlnm.Print_Area" localSheetId="19">'S9d.Embedded Networks'!$A$1:$L$27</definedName>
    <definedName name="_xlnm.Print_Area" localSheetId="20">'S9e.Demand'!$A$1:$L$53</definedName>
    <definedName name="_xlnm.Print_Area" localSheetId="1">TOC!$A$1:$D$27</definedName>
    <definedName name="_xlnm.Print_Titles" localSheetId="3">'S1.Analytical Ratios'!$1:$6</definedName>
    <definedName name="_xlnm.Print_Titles" localSheetId="21">'S10.Reliability'!$1:$6</definedName>
    <definedName name="_xlnm.Print_Titles" localSheetId="4">'S2.Return on Investment'!$1:$6</definedName>
    <definedName name="_xlnm.Print_Titles" localSheetId="5">'S3.Regulatory Profit'!$1:$6</definedName>
    <definedName name="_xlnm.Print_Titles" localSheetId="6">'S4.RAB Value (Rolled Forward)'!$1:$6</definedName>
    <definedName name="_xlnm.Print_Titles" localSheetId="7">'S5a.Regulatory Tax Allowance'!$1:$6</definedName>
    <definedName name="_xlnm.Print_Titles" localSheetId="8">'S5b.Related Party Transactions'!$1:$6</definedName>
    <definedName name="_xlnm.Print_Titles" localSheetId="9">'S5c.TCSD Allowance'!$1:$6</definedName>
    <definedName name="_xlnm.Print_Titles" localSheetId="10">'S5d.Cost Allocations'!$1:$6</definedName>
    <definedName name="_xlnm.Print_Titles" localSheetId="11">'S5e.Asset Allocations'!$1:$6</definedName>
    <definedName name="_xlnm.Print_Titles" localSheetId="12">'S6a.Actual Expenditure Capex'!$1:$6</definedName>
    <definedName name="_xlnm.Print_Titles" localSheetId="13">'S6b.Actual Expenditure Opex'!$1:$6</definedName>
    <definedName name="_xlnm.Print_Titles" localSheetId="14">'S7.Actual vs Forecast'!$1:$6</definedName>
    <definedName name="_xlnm.Print_Titles" localSheetId="15">'S8.Billed Quantities+Revenues'!$1:$6</definedName>
    <definedName name="_xlnm.Print_Titles" localSheetId="16">'S9a.Asset Register'!$1:$6</definedName>
    <definedName name="_xlnm.Print_Titles" localSheetId="17">'S9b.Asset Age Profile'!$1:$6</definedName>
    <definedName name="_xlnm.Print_Titles" localSheetId="18">'S9c.Overhead Lines'!$1:$6</definedName>
    <definedName name="_xlnm.Print_Titles" localSheetId="19">'S9d.Embedded Networks'!$1:$6</definedName>
    <definedName name="_xlnm.Print_Titles" localSheetId="20">'S9e.Demand'!$1:$6</definedName>
    <definedName name="Z_21F2E024_704F_4E93_AC63_213755ECFFE0_.wvu.PrintArea" localSheetId="0" hidden="1">CoverSheet!$A$1:$D$17</definedName>
    <definedName name="Z_21F2E024_704F_4E93_AC63_213755ECFFE0_.wvu.PrintArea" localSheetId="2" hidden="1">Instructions!$A$1:$C$37</definedName>
    <definedName name="Z_21F2E024_704F_4E93_AC63_213755ECFFE0_.wvu.PrintArea" localSheetId="4" hidden="1">'S2.Return on Investment'!$A$1:$N$108</definedName>
    <definedName name="Z_21F2E024_704F_4E93_AC63_213755ECFFE0_.wvu.PrintArea" localSheetId="5" hidden="1">'S3.Regulatory Profit'!$A$1:$U$73</definedName>
    <definedName name="Z_21F2E024_704F_4E93_AC63_213755ECFFE0_.wvu.PrintArea" localSheetId="6" hidden="1">'S4.RAB Value (Rolled Forward)'!$A$1:$Q$112</definedName>
    <definedName name="Z_21F2E024_704F_4E93_AC63_213755ECFFE0_.wvu.PrintArea" localSheetId="7" hidden="1">'S5a.Regulatory Tax Allowance'!$A$1:$K$91</definedName>
    <definedName name="Z_21F2E024_704F_4E93_AC63_213755ECFFE0_.wvu.PrintArea" localSheetId="8" hidden="1">'S5b.Related Party Transactions'!$A$1:$L$39</definedName>
    <definedName name="Z_21F2E024_704F_4E93_AC63_213755ECFFE0_.wvu.PrintArea" localSheetId="9" hidden="1">'S5c.TCSD Allowance'!$A$1:$P$28</definedName>
    <definedName name="Z_21F2E024_704F_4E93_AC63_213755ECFFE0_.wvu.PrintArea" localSheetId="10" hidden="1">'S5d.Cost Allocations'!$A$1:$O$80</definedName>
    <definedName name="Z_21F2E024_704F_4E93_AC63_213755ECFFE0_.wvu.PrintArea" localSheetId="11" hidden="1">'S5e.Asset Allocations'!$A$1:$N$81</definedName>
    <definedName name="Z_21F2E024_704F_4E93_AC63_213755ECFFE0_.wvu.PrintArea" localSheetId="12" hidden="1">'S6a.Actual Expenditure Capex'!$A$1:$L$130</definedName>
    <definedName name="Z_21F2E024_704F_4E93_AC63_213755ECFFE0_.wvu.PrintArea" localSheetId="14" hidden="1">'S7.Actual vs Forecast'!$A$1:$K$45</definedName>
    <definedName name="Z_21F2E024_704F_4E93_AC63_213755ECFFE0_.wvu.PrintArea" localSheetId="15" hidden="1">'S8.Billed Quantities+Revenues'!$A$1:$Y$72</definedName>
    <definedName name="Z_21F2E024_704F_4E93_AC63_213755ECFFE0_.wvu.PrintArea" localSheetId="16" hidden="1">'S9a.Asset Register'!$A$1:$L$60</definedName>
    <definedName name="Z_21F2E024_704F_4E93_AC63_213755ECFFE0_.wvu.PrintArea" localSheetId="17" hidden="1">'S9b.Asset Age Profile'!$A$1:$AK$61</definedName>
    <definedName name="Z_21F2E024_704F_4E93_AC63_213755ECFFE0_.wvu.PrintArea" localSheetId="19" hidden="1">'S9d.Embedded Networks'!$A$1:$L$27</definedName>
    <definedName name="Z_21F2E024_704F_4E93_AC63_213755ECFFE0_.wvu.PrintArea" localSheetId="20" hidden="1">'S9e.Demand'!$A$1:$L$53</definedName>
    <definedName name="Z_21F2E024_704F_4E93_AC63_213755ECFFE0_.wvu.PrintArea" localSheetId="1" hidden="1">TOC!$A$1:$D$27</definedName>
    <definedName name="Z_21F2E024_704F_4E93_AC63_213755ECFFE0_.wvu.PrintTitles" localSheetId="11" hidden="1">'S5e.Asset Allocations'!$1:$6</definedName>
    <definedName name="Z_A14D7CC1_2369_4658_B8E9_B7D652E5D709_.wvu.PrintArea" localSheetId="5" hidden="1">'S3.Regulatory Profit'!$A$1:$S$67</definedName>
    <definedName name="Z_A14D7CC1_2369_4658_B8E9_B7D652E5D709_.wvu.PrintArea" localSheetId="12" hidden="1">'S6a.Actual Expenditure Capex'!$A$1:$J$52</definedName>
    <definedName name="Z_A14D7CC1_2369_4658_B8E9_B7D652E5D709_.wvu.PrintArea" localSheetId="13" hidden="1">'S6b.Actual Expenditure Opex'!#REF!</definedName>
  </definedNames>
  <calcPr calcId="162913"/>
  <customWorkbookViews>
    <customWorkbookView name="Laurence Walls - Personal View" guid="{21F2E024-704F-4E93-AC63-213755ECFFE0}" mergeInterval="0" personalView="1" maximized="1" xWindow="1" yWindow="1" windowWidth="1020" windowHeight="1033" tabRatio="607" activeSheetId="63" showComments="commIndAndComment"/>
  </customWorkbookViews>
</workbook>
</file>

<file path=xl/calcChain.xml><?xml version="1.0" encoding="utf-8"?>
<calcChain xmlns="http://schemas.openxmlformats.org/spreadsheetml/2006/main">
  <c r="K10" i="57" l="1"/>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9" i="57"/>
  <c r="I10" i="57"/>
  <c r="I11" i="57"/>
  <c r="I12" i="57"/>
  <c r="I13" i="57"/>
  <c r="I14" i="57"/>
  <c r="I15" i="57"/>
  <c r="I16" i="57"/>
  <c r="I17" i="57"/>
  <c r="I18" i="57"/>
  <c r="I19" i="57"/>
  <c r="I20" i="57"/>
  <c r="I21" i="57"/>
  <c r="I22" i="57"/>
  <c r="I23" i="57"/>
  <c r="I24" i="57"/>
  <c r="I25" i="57"/>
  <c r="I26" i="57"/>
  <c r="I27" i="57"/>
  <c r="I28" i="57"/>
  <c r="I29" i="57"/>
  <c r="I30" i="57"/>
  <c r="I31" i="57"/>
  <c r="I32" i="57"/>
  <c r="I33" i="57"/>
  <c r="I34" i="57"/>
  <c r="I35" i="57"/>
  <c r="I36" i="57"/>
  <c r="I37" i="57"/>
  <c r="I38" i="57"/>
  <c r="I39" i="57"/>
  <c r="I40" i="57"/>
  <c r="I41" i="57"/>
  <c r="I42" i="57"/>
  <c r="I43" i="57"/>
  <c r="I44" i="57"/>
  <c r="I45" i="57"/>
  <c r="I46" i="57"/>
  <c r="I47" i="57"/>
  <c r="I48" i="57"/>
  <c r="I49" i="57"/>
  <c r="I50" i="57"/>
  <c r="I51" i="57"/>
  <c r="I52" i="57"/>
  <c r="I53" i="57"/>
  <c r="I54" i="57"/>
  <c r="I55" i="57"/>
  <c r="I56" i="57"/>
  <c r="I57" i="57"/>
  <c r="I58" i="57"/>
  <c r="I59" i="57"/>
  <c r="I9" i="57"/>
  <c r="H29" i="65" l="1"/>
  <c r="L105" i="102" l="1"/>
  <c r="G26" i="38" l="1"/>
  <c r="G27" i="38"/>
  <c r="M55" i="102"/>
  <c r="M79" i="63" l="1"/>
  <c r="O79" i="63"/>
  <c r="G107" i="63" l="1"/>
  <c r="O80" i="63"/>
  <c r="F71" i="74" l="1"/>
  <c r="G47" i="74" l="1"/>
  <c r="G48" i="74"/>
  <c r="G49" i="74"/>
  <c r="G50" i="74"/>
  <c r="G51" i="74"/>
  <c r="G52" i="74"/>
  <c r="G53" i="74"/>
  <c r="G54" i="74"/>
  <c r="G55" i="74"/>
  <c r="G56" i="74"/>
  <c r="G57" i="74"/>
  <c r="G58" i="74"/>
  <c r="G59" i="74"/>
  <c r="G60" i="74"/>
  <c r="G61" i="74"/>
  <c r="G62" i="74"/>
  <c r="G63" i="74"/>
  <c r="G64" i="74"/>
  <c r="G22" i="38" l="1"/>
  <c r="H29" i="66" l="1"/>
  <c r="H28" i="66"/>
  <c r="H27" i="66"/>
  <c r="H26" i="66"/>
  <c r="H25" i="66"/>
  <c r="H24" i="66"/>
  <c r="I10" i="66" l="1"/>
  <c r="I9" i="66"/>
  <c r="AH10" i="41"/>
  <c r="AH11" i="41"/>
  <c r="AH12" i="41"/>
  <c r="AH13" i="41"/>
  <c r="AH14" i="41"/>
  <c r="AH15" i="41"/>
  <c r="AH16" i="41"/>
  <c r="AH17" i="41"/>
  <c r="AH18" i="41"/>
  <c r="AH19" i="41"/>
  <c r="AH20" i="41"/>
  <c r="AH21" i="41"/>
  <c r="AH22" i="41"/>
  <c r="AH23" i="41"/>
  <c r="AH24" i="41"/>
  <c r="AH25" i="41"/>
  <c r="AH26" i="41"/>
  <c r="AH27" i="41"/>
  <c r="AH28" i="41"/>
  <c r="AH29" i="41"/>
  <c r="AH30" i="41"/>
  <c r="AH31" i="41"/>
  <c r="AH32" i="41"/>
  <c r="AH33" i="41"/>
  <c r="AH34" i="41"/>
  <c r="AH35" i="41"/>
  <c r="AH36" i="41"/>
  <c r="AH37" i="41"/>
  <c r="AH38" i="41"/>
  <c r="AH39" i="41"/>
  <c r="AH40" i="41"/>
  <c r="AH41" i="41"/>
  <c r="AH42" i="41"/>
  <c r="AH43" i="41"/>
  <c r="AH44" i="41"/>
  <c r="AH45" i="41"/>
  <c r="AH46" i="41"/>
  <c r="AH47" i="41"/>
  <c r="AH48" i="41"/>
  <c r="AH49" i="41"/>
  <c r="AH50" i="41"/>
  <c r="AH51" i="41"/>
  <c r="AH52" i="41"/>
  <c r="AH53" i="41"/>
  <c r="AH54" i="41"/>
  <c r="AH55" i="41"/>
  <c r="AH56" i="41"/>
  <c r="AH57" i="41"/>
  <c r="AH58" i="41"/>
  <c r="AH59" i="41"/>
  <c r="AH60" i="41"/>
  <c r="S22" i="77"/>
  <c r="K46" i="68"/>
  <c r="K42" i="68"/>
  <c r="K31" i="68"/>
  <c r="K27" i="68"/>
  <c r="K23" i="68"/>
  <c r="K19" i="68"/>
  <c r="K15" i="68"/>
  <c r="K11" i="68"/>
  <c r="P68" i="63" l="1"/>
  <c r="O61" i="63"/>
  <c r="P45" i="63"/>
  <c r="O42" i="63"/>
  <c r="O41" i="63"/>
  <c r="O40" i="63"/>
  <c r="O36" i="63"/>
  <c r="T11" i="60" l="1"/>
  <c r="L116" i="102"/>
  <c r="L114" i="102"/>
  <c r="L111" i="102"/>
  <c r="K42" i="102" l="1"/>
  <c r="I64" i="105" l="1"/>
  <c r="E8" i="41" l="1"/>
  <c r="M57" i="102" l="1"/>
  <c r="L79" i="102" l="1"/>
  <c r="K79" i="102"/>
  <c r="J79" i="102"/>
  <c r="I79" i="102"/>
  <c r="G79" i="102"/>
  <c r="T46" i="60" l="1"/>
  <c r="G81" i="38" l="1"/>
  <c r="J79" i="38"/>
  <c r="J78" i="38"/>
  <c r="J76" i="38"/>
  <c r="J75" i="38"/>
  <c r="H34" i="38"/>
  <c r="G34" i="38"/>
  <c r="G19" i="38"/>
  <c r="H3" i="38"/>
  <c r="H2" i="38"/>
  <c r="J50" i="93"/>
  <c r="J41" i="93"/>
  <c r="J33" i="93"/>
  <c r="J35" i="93" s="1"/>
  <c r="J22" i="93"/>
  <c r="I3" i="93"/>
  <c r="I2" i="93"/>
  <c r="J3" i="87"/>
  <c r="J2" i="87"/>
  <c r="G30" i="86"/>
  <c r="H29" i="86" s="1"/>
  <c r="I20" i="86"/>
  <c r="H18" i="86"/>
  <c r="G18" i="86"/>
  <c r="L31" i="86" s="1"/>
  <c r="I17" i="86"/>
  <c r="I16" i="86"/>
  <c r="I15" i="86"/>
  <c r="I14" i="86"/>
  <c r="I13" i="86"/>
  <c r="I12" i="86"/>
  <c r="I11" i="86"/>
  <c r="G3" i="86"/>
  <c r="G2" i="86"/>
  <c r="AE3" i="41"/>
  <c r="AE2" i="41"/>
  <c r="J59" i="57"/>
  <c r="J58" i="57"/>
  <c r="J57" i="57"/>
  <c r="J56" i="57"/>
  <c r="J55" i="57"/>
  <c r="J54" i="57"/>
  <c r="J53" i="57"/>
  <c r="J52" i="57"/>
  <c r="J51" i="57"/>
  <c r="J50" i="57"/>
  <c r="J49" i="57"/>
  <c r="J48" i="57"/>
  <c r="J47" i="57"/>
  <c r="J46" i="57"/>
  <c r="J45" i="57"/>
  <c r="J44" i="57"/>
  <c r="J43" i="57"/>
  <c r="J42" i="57"/>
  <c r="J41" i="57"/>
  <c r="J40" i="57"/>
  <c r="J39" i="57"/>
  <c r="J38" i="57"/>
  <c r="J37" i="57"/>
  <c r="J36" i="57"/>
  <c r="J35" i="57"/>
  <c r="J34" i="57"/>
  <c r="J33" i="57"/>
  <c r="J32" i="57"/>
  <c r="J31" i="57"/>
  <c r="J30" i="57"/>
  <c r="J29" i="57"/>
  <c r="J28" i="57"/>
  <c r="J27" i="57"/>
  <c r="J26" i="57"/>
  <c r="J25" i="57"/>
  <c r="J24" i="57"/>
  <c r="J23" i="57"/>
  <c r="J22" i="57"/>
  <c r="J21" i="57"/>
  <c r="J20" i="57"/>
  <c r="J19" i="57"/>
  <c r="J18" i="57"/>
  <c r="J17" i="57"/>
  <c r="J16" i="57"/>
  <c r="J15" i="57"/>
  <c r="J14" i="57"/>
  <c r="J13" i="57"/>
  <c r="J12" i="57"/>
  <c r="J11" i="57"/>
  <c r="J10" i="57"/>
  <c r="J9" i="57"/>
  <c r="I3" i="57"/>
  <c r="I2" i="57"/>
  <c r="W67" i="74"/>
  <c r="T67" i="74"/>
  <c r="S67" i="74"/>
  <c r="R67" i="74"/>
  <c r="Q67" i="74"/>
  <c r="P67" i="74"/>
  <c r="N67" i="74"/>
  <c r="M67" i="74"/>
  <c r="H67" i="74"/>
  <c r="G67" i="74"/>
  <c r="W66" i="74"/>
  <c r="T66" i="74"/>
  <c r="S66" i="74"/>
  <c r="R66" i="74"/>
  <c r="Q66" i="74"/>
  <c r="P66" i="74"/>
  <c r="N66" i="74"/>
  <c r="M66" i="74"/>
  <c r="H66" i="74"/>
  <c r="G46" i="74"/>
  <c r="W36" i="74"/>
  <c r="T36" i="74"/>
  <c r="S36" i="74"/>
  <c r="R36" i="74"/>
  <c r="Q36" i="74"/>
  <c r="P36" i="74"/>
  <c r="H36" i="74"/>
  <c r="G36" i="74"/>
  <c r="W35" i="74"/>
  <c r="W37" i="74" s="1"/>
  <c r="T35" i="74"/>
  <c r="T37" i="74" s="1"/>
  <c r="S35" i="74"/>
  <c r="S37" i="74" s="1"/>
  <c r="R35" i="74"/>
  <c r="Q35" i="74"/>
  <c r="Q37" i="74" s="1"/>
  <c r="P35" i="74"/>
  <c r="H35" i="74"/>
  <c r="H37" i="74" s="1"/>
  <c r="G35" i="74"/>
  <c r="T3" i="74"/>
  <c r="T2" i="74"/>
  <c r="I41" i="65"/>
  <c r="J41" i="65" s="1"/>
  <c r="J40" i="65"/>
  <c r="I40" i="65"/>
  <c r="J39" i="65"/>
  <c r="I39" i="65"/>
  <c r="J38" i="65"/>
  <c r="I38" i="65"/>
  <c r="J35" i="65"/>
  <c r="I35" i="65"/>
  <c r="J34" i="65"/>
  <c r="I34" i="65"/>
  <c r="J33" i="65"/>
  <c r="I33" i="65"/>
  <c r="H30" i="65"/>
  <c r="I29" i="65"/>
  <c r="J29" i="65" s="1"/>
  <c r="I28" i="65"/>
  <c r="J28" i="65" s="1"/>
  <c r="H27" i="65"/>
  <c r="J26" i="65"/>
  <c r="I26" i="65"/>
  <c r="J25" i="65"/>
  <c r="I25" i="65"/>
  <c r="J24" i="65"/>
  <c r="I24" i="65"/>
  <c r="J23" i="65"/>
  <c r="I23" i="65"/>
  <c r="H18" i="65"/>
  <c r="J18" i="65" s="1"/>
  <c r="J17" i="65"/>
  <c r="J16" i="65"/>
  <c r="J15" i="65"/>
  <c r="J13" i="65"/>
  <c r="J10" i="65"/>
  <c r="H3" i="65"/>
  <c r="H2" i="65"/>
  <c r="S15" i="77"/>
  <c r="S12" i="77"/>
  <c r="R3" i="77"/>
  <c r="R2" i="77"/>
  <c r="K127" i="64"/>
  <c r="K117" i="64"/>
  <c r="K103" i="64"/>
  <c r="K105" i="64" s="1"/>
  <c r="K91" i="64"/>
  <c r="K93" i="64" s="1"/>
  <c r="K79" i="64"/>
  <c r="J13" i="64" s="1"/>
  <c r="K66" i="64"/>
  <c r="K68" i="64" s="1"/>
  <c r="K53" i="64"/>
  <c r="K55" i="64" s="1"/>
  <c r="J53" i="64"/>
  <c r="K9" i="64" s="1"/>
  <c r="I11" i="65" s="1"/>
  <c r="J11" i="65" s="1"/>
  <c r="K39" i="64"/>
  <c r="K8" i="64" s="1"/>
  <c r="K22" i="64"/>
  <c r="I3" i="64"/>
  <c r="I2" i="64"/>
  <c r="M74" i="104"/>
  <c r="L74" i="104"/>
  <c r="M65" i="104"/>
  <c r="L65" i="104"/>
  <c r="M56" i="104"/>
  <c r="L56" i="104"/>
  <c r="K48" i="104"/>
  <c r="K3" i="104"/>
  <c r="K2" i="104"/>
  <c r="M73" i="68"/>
  <c r="L73" i="68"/>
  <c r="M64" i="68"/>
  <c r="L64" i="68"/>
  <c r="M55" i="68"/>
  <c r="L55" i="68"/>
  <c r="K48" i="68"/>
  <c r="K44" i="68"/>
  <c r="N36" i="68"/>
  <c r="L36" i="68"/>
  <c r="K36" i="68"/>
  <c r="J36" i="68"/>
  <c r="K35" i="68"/>
  <c r="K33" i="68"/>
  <c r="M32" i="68"/>
  <c r="K29" i="68"/>
  <c r="M28" i="68"/>
  <c r="K25" i="68"/>
  <c r="M24" i="68"/>
  <c r="K21" i="68"/>
  <c r="M20" i="68"/>
  <c r="K17" i="68"/>
  <c r="M16" i="68"/>
  <c r="K13" i="68"/>
  <c r="M12" i="68"/>
  <c r="L3" i="68"/>
  <c r="L2" i="68"/>
  <c r="I25" i="103"/>
  <c r="O16" i="103"/>
  <c r="N16" i="103"/>
  <c r="M16" i="103"/>
  <c r="L16" i="103"/>
  <c r="M3" i="103"/>
  <c r="M2" i="103"/>
  <c r="I3" i="66"/>
  <c r="I2" i="66"/>
  <c r="J90" i="105"/>
  <c r="I62" i="105"/>
  <c r="J57" i="105"/>
  <c r="I37" i="105"/>
  <c r="J40" i="105" s="1"/>
  <c r="H3" i="105"/>
  <c r="H2" i="105"/>
  <c r="O107" i="63"/>
  <c r="K43" i="104" s="1"/>
  <c r="K45" i="104" s="1"/>
  <c r="N107" i="63"/>
  <c r="K39" i="104" s="1"/>
  <c r="K41" i="104" s="1"/>
  <c r="M107" i="63"/>
  <c r="K35" i="104" s="1"/>
  <c r="K37" i="104" s="1"/>
  <c r="L107" i="63"/>
  <c r="K31" i="104" s="1"/>
  <c r="K33" i="104" s="1"/>
  <c r="K107" i="63"/>
  <c r="K27" i="104" s="1"/>
  <c r="K29" i="104" s="1"/>
  <c r="J107" i="63"/>
  <c r="K23" i="104" s="1"/>
  <c r="K25" i="104" s="1"/>
  <c r="I107" i="63"/>
  <c r="K19" i="104" s="1"/>
  <c r="H107" i="63"/>
  <c r="K15" i="104" s="1"/>
  <c r="K17" i="104" s="1"/>
  <c r="K11" i="104"/>
  <c r="K13" i="104" s="1"/>
  <c r="P106" i="63"/>
  <c r="P105" i="63"/>
  <c r="S104" i="63"/>
  <c r="P104" i="63"/>
  <c r="P103" i="63"/>
  <c r="P102" i="63"/>
  <c r="P101" i="63"/>
  <c r="P100" i="63"/>
  <c r="P99" i="63"/>
  <c r="P83" i="63"/>
  <c r="T21" i="60" s="1"/>
  <c r="I34" i="97" s="1"/>
  <c r="N83" i="63"/>
  <c r="N31" i="63" s="1"/>
  <c r="M60" i="63"/>
  <c r="M63" i="63" s="1"/>
  <c r="P56" i="63"/>
  <c r="P43" i="63"/>
  <c r="S103" i="63" s="1"/>
  <c r="N43" i="63"/>
  <c r="L24" i="63"/>
  <c r="M10" i="63" s="1"/>
  <c r="M24" i="63" s="1"/>
  <c r="N10" i="63" s="1"/>
  <c r="N24" i="63" s="1"/>
  <c r="O10" i="63" s="1"/>
  <c r="O24" i="63" s="1"/>
  <c r="P10" i="63" s="1"/>
  <c r="P20" i="63"/>
  <c r="K49" i="102" s="1"/>
  <c r="P8" i="63"/>
  <c r="O8" i="63"/>
  <c r="N8" i="63"/>
  <c r="M8" i="63"/>
  <c r="L8" i="63"/>
  <c r="K8" i="63"/>
  <c r="N3" i="63"/>
  <c r="N2" i="63"/>
  <c r="T62" i="60"/>
  <c r="T64" i="60" s="1"/>
  <c r="L102" i="102" s="1"/>
  <c r="M107" i="102" s="1"/>
  <c r="U41" i="102" s="1"/>
  <c r="G61" i="60"/>
  <c r="G60" i="60"/>
  <c r="G59" i="60"/>
  <c r="G58" i="60"/>
  <c r="G57" i="60"/>
  <c r="S50" i="60"/>
  <c r="T17" i="60"/>
  <c r="I33" i="97" s="1"/>
  <c r="R3" i="60"/>
  <c r="T50" i="60" s="1"/>
  <c r="R2" i="60"/>
  <c r="M119" i="102"/>
  <c r="S79" i="102"/>
  <c r="M78" i="102"/>
  <c r="S67" i="102" s="1"/>
  <c r="S78" i="102"/>
  <c r="M77" i="102"/>
  <c r="S66" i="102" s="1"/>
  <c r="S77" i="102"/>
  <c r="M76" i="102"/>
  <c r="S65" i="102" s="1"/>
  <c r="S76" i="102"/>
  <c r="M75" i="102"/>
  <c r="S64" i="102" s="1"/>
  <c r="S75" i="102"/>
  <c r="M74" i="102"/>
  <c r="S63" i="102" s="1"/>
  <c r="S74" i="102"/>
  <c r="M73" i="102"/>
  <c r="S62" i="102" s="1"/>
  <c r="S73" i="102"/>
  <c r="M72" i="102"/>
  <c r="S61" i="102" s="1"/>
  <c r="S72" i="102"/>
  <c r="M71" i="102"/>
  <c r="S60" i="102" s="1"/>
  <c r="S71" i="102"/>
  <c r="M70" i="102"/>
  <c r="S59" i="102" s="1"/>
  <c r="S70" i="102"/>
  <c r="M69" i="102"/>
  <c r="S58" i="102" s="1"/>
  <c r="S69" i="102"/>
  <c r="M68" i="102"/>
  <c r="S57" i="102" s="1"/>
  <c r="S68" i="102"/>
  <c r="M67" i="102"/>
  <c r="S56" i="102" s="1"/>
  <c r="P113" i="102"/>
  <c r="Q113" i="102" s="1"/>
  <c r="K33" i="102"/>
  <c r="M8" i="102"/>
  <c r="L8" i="102"/>
  <c r="K8" i="102"/>
  <c r="J8" i="102"/>
  <c r="K3" i="102"/>
  <c r="K2" i="102"/>
  <c r="L11" i="97"/>
  <c r="L10" i="97"/>
  <c r="J3" i="97"/>
  <c r="J2" i="97"/>
  <c r="M35" i="63" l="1"/>
  <c r="O35" i="63" s="1"/>
  <c r="P38" i="63" s="1"/>
  <c r="K47" i="104"/>
  <c r="K49" i="104" s="1"/>
  <c r="P49" i="63" s="1"/>
  <c r="P24" i="63" s="1"/>
  <c r="K47" i="102" s="1"/>
  <c r="K21" i="104"/>
  <c r="K43" i="93"/>
  <c r="I21" i="97"/>
  <c r="G66" i="74"/>
  <c r="G68" i="74" s="1"/>
  <c r="H21" i="97"/>
  <c r="R37" i="74"/>
  <c r="N64" i="63"/>
  <c r="N33" i="63" s="1"/>
  <c r="P37" i="74"/>
  <c r="H68" i="74"/>
  <c r="Q68" i="74"/>
  <c r="R77" i="102"/>
  <c r="H20" i="97"/>
  <c r="N68" i="74"/>
  <c r="S68" i="74"/>
  <c r="T104" i="63"/>
  <c r="I20" i="103"/>
  <c r="I27" i="103" s="1"/>
  <c r="P68" i="74"/>
  <c r="T68" i="74"/>
  <c r="S17" i="77"/>
  <c r="K129" i="64"/>
  <c r="K18" i="64" s="1"/>
  <c r="H31" i="65"/>
  <c r="I12" i="105"/>
  <c r="M36" i="68"/>
  <c r="K11" i="64"/>
  <c r="I13" i="65" s="1"/>
  <c r="P18" i="63"/>
  <c r="K40" i="102" s="1"/>
  <c r="J55" i="64"/>
  <c r="I27" i="65"/>
  <c r="M31" i="86"/>
  <c r="M79" i="102"/>
  <c r="R39" i="102"/>
  <c r="R60" i="102"/>
  <c r="R67" i="102"/>
  <c r="R75" i="102"/>
  <c r="R41" i="102"/>
  <c r="R64" i="102"/>
  <c r="R72" i="102"/>
  <c r="R80" i="102"/>
  <c r="R62" i="102"/>
  <c r="R57" i="102"/>
  <c r="R71" i="102"/>
  <c r="R79" i="102"/>
  <c r="R81" i="102"/>
  <c r="R66" i="102"/>
  <c r="R68" i="102"/>
  <c r="R76" i="102"/>
  <c r="R55" i="102"/>
  <c r="P107" i="63"/>
  <c r="T103" i="63"/>
  <c r="K37" i="68"/>
  <c r="J14" i="64"/>
  <c r="I16" i="65" s="1"/>
  <c r="I30" i="65"/>
  <c r="J30" i="65" s="1"/>
  <c r="H19" i="65"/>
  <c r="J27" i="65"/>
  <c r="M68" i="74"/>
  <c r="R68" i="74"/>
  <c r="G37" i="74"/>
  <c r="I15" i="97" s="1"/>
  <c r="W68" i="74"/>
  <c r="H26" i="86"/>
  <c r="I18" i="86"/>
  <c r="H25" i="97" s="1"/>
  <c r="R42" i="102"/>
  <c r="R56" i="102"/>
  <c r="R58" i="102"/>
  <c r="R63" i="102"/>
  <c r="R65" i="102"/>
  <c r="R70" i="102"/>
  <c r="R74" i="102"/>
  <c r="R78" i="102"/>
  <c r="R82" i="102"/>
  <c r="R40" i="102"/>
  <c r="R43" i="102"/>
  <c r="R59" i="102"/>
  <c r="R61" i="102"/>
  <c r="R69" i="102"/>
  <c r="R73" i="102"/>
  <c r="P29" i="63"/>
  <c r="K32" i="102"/>
  <c r="P31" i="63"/>
  <c r="I49" i="105"/>
  <c r="J50" i="105" s="1"/>
  <c r="I13" i="105" s="1"/>
  <c r="I68" i="105"/>
  <c r="I15" i="65"/>
  <c r="I10" i="65"/>
  <c r="K10" i="64"/>
  <c r="I12" i="65" s="1"/>
  <c r="J12" i="65" s="1"/>
  <c r="J15" i="64"/>
  <c r="I17" i="65" s="1"/>
  <c r="K42" i="64"/>
  <c r="K81" i="64"/>
  <c r="H15" i="97"/>
  <c r="H10" i="97"/>
  <c r="J42" i="93"/>
  <c r="J43" i="93" s="1"/>
  <c r="H11" i="97"/>
  <c r="H24" i="86"/>
  <c r="H28" i="86"/>
  <c r="H27" i="86"/>
  <c r="H35" i="86"/>
  <c r="H25" i="86"/>
  <c r="J11" i="97"/>
  <c r="J45" i="93"/>
  <c r="J15" i="97"/>
  <c r="J10" i="97"/>
  <c r="J9" i="97"/>
  <c r="N38" i="63" l="1"/>
  <c r="M70" i="63" s="1"/>
  <c r="I20" i="65"/>
  <c r="J20" i="65" s="1"/>
  <c r="L15" i="97"/>
  <c r="S102" i="63"/>
  <c r="T102" i="63" s="1"/>
  <c r="P16" i="63"/>
  <c r="K39" i="102" s="1"/>
  <c r="P105" i="102" s="1"/>
  <c r="Q105" i="102" s="1"/>
  <c r="O70" i="63"/>
  <c r="I20" i="97"/>
  <c r="T15" i="60"/>
  <c r="L9" i="97"/>
  <c r="H9" i="97"/>
  <c r="J31" i="65"/>
  <c r="I8" i="65"/>
  <c r="J8" i="65" s="1"/>
  <c r="H19" i="97"/>
  <c r="I32" i="97"/>
  <c r="K38" i="102"/>
  <c r="P109" i="102"/>
  <c r="Q109" i="102" s="1"/>
  <c r="I72" i="105"/>
  <c r="L34" i="102"/>
  <c r="M63" i="102" s="1"/>
  <c r="T9" i="60"/>
  <c r="N70" i="74"/>
  <c r="S107" i="63"/>
  <c r="T107" i="63" s="1"/>
  <c r="J14" i="105"/>
  <c r="I31" i="65"/>
  <c r="H27" i="97"/>
  <c r="H26" i="97"/>
  <c r="K15" i="97"/>
  <c r="K9" i="97"/>
  <c r="K11" i="97"/>
  <c r="H21" i="65"/>
  <c r="I42" i="97"/>
  <c r="I19" i="97"/>
  <c r="I10" i="97"/>
  <c r="H28" i="97"/>
  <c r="I11" i="97"/>
  <c r="I9" i="97"/>
  <c r="K16" i="64"/>
  <c r="K17" i="64" s="1"/>
  <c r="K14" i="97" s="1"/>
  <c r="K10" i="97"/>
  <c r="H33" i="86"/>
  <c r="P12" i="63"/>
  <c r="S100" i="63"/>
  <c r="T100" i="63" s="1"/>
  <c r="O60" i="63"/>
  <c r="O63" i="63" s="1"/>
  <c r="P64" i="63" s="1"/>
  <c r="S99" i="63"/>
  <c r="T99" i="63" s="1"/>
  <c r="T27" i="60"/>
  <c r="L45" i="102" s="1"/>
  <c r="I18" i="65"/>
  <c r="I19" i="65" s="1"/>
  <c r="I21" i="65" s="1"/>
  <c r="H30" i="86"/>
  <c r="N49" i="63" l="1"/>
  <c r="I14" i="97"/>
  <c r="J21" i="65"/>
  <c r="K20" i="64"/>
  <c r="L14" i="97"/>
  <c r="H14" i="97"/>
  <c r="J14" i="97"/>
  <c r="J19" i="65"/>
  <c r="T13" i="60"/>
  <c r="I38" i="97" s="1"/>
  <c r="L36" i="102"/>
  <c r="P97" i="102" s="1"/>
  <c r="Q97" i="102" s="1"/>
  <c r="S55" i="102"/>
  <c r="P101" i="102"/>
  <c r="Q101" i="102" s="1"/>
  <c r="I20" i="105"/>
  <c r="S39" i="102"/>
  <c r="U39" i="102" s="1"/>
  <c r="W39" i="102" s="1"/>
  <c r="P33" i="63"/>
  <c r="P47" i="63" s="1"/>
  <c r="T23" i="60"/>
  <c r="M83" i="102"/>
  <c r="S81" i="102" s="1"/>
  <c r="S42" i="102"/>
  <c r="K25" i="64" l="1"/>
  <c r="L13" i="97"/>
  <c r="H13" i="97"/>
  <c r="J13" i="97"/>
  <c r="I13" i="97"/>
  <c r="K13" i="97"/>
  <c r="T19" i="60"/>
  <c r="T25" i="60" s="1"/>
  <c r="J8" i="105" s="1"/>
  <c r="S41" i="102"/>
  <c r="W41" i="102" s="1"/>
  <c r="I16" i="105"/>
  <c r="J21" i="105" s="1"/>
  <c r="I35" i="97"/>
  <c r="J35" i="97" s="1"/>
  <c r="P14" i="63"/>
  <c r="S101" i="63"/>
  <c r="T101" i="63" s="1"/>
  <c r="S105" i="63"/>
  <c r="U42" i="102"/>
  <c r="W42" i="102" s="1"/>
  <c r="J33" i="97"/>
  <c r="J34" i="97"/>
  <c r="J32" i="97"/>
  <c r="M69" i="63" l="1"/>
  <c r="N72" i="63" s="1"/>
  <c r="O69" i="63"/>
  <c r="P72" i="63" s="1"/>
  <c r="J23" i="105"/>
  <c r="J26" i="105" s="1"/>
  <c r="J29" i="105" s="1"/>
  <c r="T29" i="60" s="1"/>
  <c r="I36" i="97" s="1"/>
  <c r="J36" i="97" s="1"/>
  <c r="P22" i="63"/>
  <c r="T105" i="63"/>
  <c r="K48" i="102" l="1"/>
  <c r="I74" i="105"/>
  <c r="J76" i="105" s="1"/>
  <c r="K50" i="102" s="1"/>
  <c r="K41" i="102" s="1"/>
  <c r="T31" i="60"/>
  <c r="M94" i="102" l="1"/>
  <c r="M96" i="102" s="1"/>
  <c r="L51" i="102"/>
  <c r="M81" i="102"/>
  <c r="S80" i="102" s="1"/>
  <c r="I37" i="97"/>
  <c r="J37" i="97" s="1"/>
  <c r="L43" i="102"/>
  <c r="S40" i="102" s="1"/>
  <c r="U40" i="102" s="1"/>
  <c r="W40" i="102" s="1"/>
  <c r="S43" i="102" l="1"/>
  <c r="U43" i="102" s="1"/>
  <c r="W43" i="102" s="1"/>
  <c r="X45" i="102" s="1"/>
  <c r="X46" i="102" s="1"/>
  <c r="X40" i="102" s="1"/>
  <c r="M85" i="102"/>
  <c r="S82" i="102" s="1"/>
  <c r="T84" i="102" s="1"/>
  <c r="T85" i="102" s="1"/>
  <c r="T82" i="102" s="1"/>
  <c r="V45" i="102" l="1"/>
  <c r="V46" i="102" s="1"/>
  <c r="V41" i="102" s="1"/>
  <c r="T45" i="102"/>
  <c r="T46" i="102" s="1"/>
  <c r="T42" i="102" s="1"/>
  <c r="X39" i="102"/>
  <c r="X41" i="102"/>
  <c r="X42" i="102"/>
  <c r="X43" i="102"/>
  <c r="T65" i="102"/>
  <c r="T67" i="102"/>
  <c r="T66" i="102"/>
  <c r="T68" i="102"/>
  <c r="T55" i="102"/>
  <c r="T58" i="102"/>
  <c r="T77" i="102"/>
  <c r="T62" i="102"/>
  <c r="T61" i="102"/>
  <c r="T57" i="102"/>
  <c r="T56" i="102"/>
  <c r="T70" i="102"/>
  <c r="T60" i="102"/>
  <c r="T74" i="102"/>
  <c r="T71" i="102"/>
  <c r="T72" i="102"/>
  <c r="T75" i="102"/>
  <c r="T81" i="102"/>
  <c r="T76" i="102"/>
  <c r="T69" i="102"/>
  <c r="T63" i="102"/>
  <c r="T79" i="102"/>
  <c r="T64" i="102"/>
  <c r="T80" i="102"/>
  <c r="T73" i="102"/>
  <c r="T59" i="102"/>
  <c r="T78" i="102"/>
  <c r="V39" i="102" l="1"/>
  <c r="T39" i="102"/>
  <c r="V40" i="102"/>
  <c r="T41" i="102"/>
  <c r="V42" i="102"/>
  <c r="T40" i="102"/>
  <c r="V43" i="102"/>
  <c r="T43" i="102"/>
  <c r="X47" i="102"/>
  <c r="X48" i="102" s="1"/>
  <c r="T86" i="102"/>
  <c r="T87" i="102" s="1"/>
  <c r="M88" i="102" s="1"/>
  <c r="M90" i="102" s="1"/>
  <c r="M22" i="102" l="1"/>
  <c r="M12" i="102" s="1"/>
  <c r="V47" i="102"/>
  <c r="V48" i="102" s="1"/>
  <c r="M21" i="102" s="1"/>
  <c r="T47" i="102"/>
  <c r="T48" i="102" s="1"/>
  <c r="M53" i="102" s="1"/>
  <c r="M59" i="102" s="1"/>
  <c r="M10" i="102" s="1"/>
  <c r="M121" i="102" l="1"/>
  <c r="M11" i="102"/>
  <c r="M20" i="102"/>
  <c r="M109" i="102" s="1"/>
</calcChain>
</file>

<file path=xl/sharedStrings.xml><?xml version="1.0" encoding="utf-8"?>
<sst xmlns="http://schemas.openxmlformats.org/spreadsheetml/2006/main" count="2194" uniqueCount="1019">
  <si>
    <t>for</t>
  </si>
  <si>
    <t>Asset category</t>
  </si>
  <si>
    <t>Description</t>
  </si>
  <si>
    <t>Total</t>
  </si>
  <si>
    <t>Table of Contents</t>
  </si>
  <si>
    <t>less</t>
  </si>
  <si>
    <t>plus</t>
  </si>
  <si>
    <t xml:space="preserve"> </t>
  </si>
  <si>
    <t>Company Name</t>
  </si>
  <si>
    <t>Disclosure Date</t>
  </si>
  <si>
    <t>Disclosure Year (year ended)</t>
  </si>
  <si>
    <t>EDB Information Disclosure Requirements</t>
  </si>
  <si>
    <t>%</t>
  </si>
  <si>
    <t>Class B (planned interruptions on the network)</t>
  </si>
  <si>
    <t>Class C (unplanned interruptions on the network)</t>
  </si>
  <si>
    <t>Class D (unplanned interruptions by Transpower)</t>
  </si>
  <si>
    <t>≤3Hrs</t>
  </si>
  <si>
    <t>&gt;3hrs</t>
  </si>
  <si>
    <t>SAIDI</t>
  </si>
  <si>
    <t>Voltage regulators</t>
  </si>
  <si>
    <t>Voltage</t>
  </si>
  <si>
    <t>Asset class</t>
  </si>
  <si>
    <t>All</t>
  </si>
  <si>
    <t>Concrete poles / steel structure</t>
  </si>
  <si>
    <t>No.</t>
  </si>
  <si>
    <t>Wood poles</t>
  </si>
  <si>
    <t>Other pole types</t>
  </si>
  <si>
    <t>Capacitors including controls</t>
  </si>
  <si>
    <t>No</t>
  </si>
  <si>
    <t>HV</t>
  </si>
  <si>
    <t>Subtransmission OH up to 66kV conductor</t>
  </si>
  <si>
    <t>km</t>
  </si>
  <si>
    <t>Subtransmission OH 110kV+ conductor</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</si>
  <si>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</si>
  <si>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</si>
  <si>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</si>
  <si>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</si>
  <si>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</si>
  <si>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</si>
  <si>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</si>
  <si>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</si>
  <si>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</si>
  <si>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Zone substations up to 66kV</t>
  </si>
  <si>
    <t>Zone substations 110kV+</t>
  </si>
  <si>
    <t>33kV RMU</t>
  </si>
  <si>
    <t>Distribution OH Open Wire Conductor</t>
  </si>
  <si>
    <t>Distribution OH Aerial Cable Conductor</t>
  </si>
  <si>
    <t>Distribution UG XLPE or PVC</t>
  </si>
  <si>
    <t>Distribution UG PILC</t>
  </si>
  <si>
    <t>Distribution Submarine Cable</t>
  </si>
  <si>
    <t>3.3/6.6/11/22kV RMU</t>
  </si>
  <si>
    <t>Pole Mounted Transformer</t>
  </si>
  <si>
    <t>Ground Mounted Transformer</t>
  </si>
  <si>
    <t>Ground Mounted Substation Housing</t>
  </si>
  <si>
    <t>LV</t>
  </si>
  <si>
    <t>Connections</t>
  </si>
  <si>
    <t>Protection</t>
  </si>
  <si>
    <t>Protection relays (electromechanical, solid state and numeric)</t>
  </si>
  <si>
    <t>SCADA and communications</t>
  </si>
  <si>
    <t>Civils</t>
  </si>
  <si>
    <t>Cable Tunnels</t>
  </si>
  <si>
    <t>Centralised plant</t>
  </si>
  <si>
    <t>Relays</t>
  </si>
  <si>
    <t>Unallocated overhead lines</t>
  </si>
  <si>
    <t>Quality of supply</t>
  </si>
  <si>
    <t>Zone substations</t>
  </si>
  <si>
    <t>Routine expenditure</t>
  </si>
  <si>
    <t>Atypical expenditure</t>
  </si>
  <si>
    <t>Business support</t>
  </si>
  <si>
    <t>Direct billing</t>
  </si>
  <si>
    <t>Vegetation management</t>
  </si>
  <si>
    <t>Service interruptions and emergencies</t>
  </si>
  <si>
    <t>Lightning</t>
  </si>
  <si>
    <t>Human error</t>
  </si>
  <si>
    <t>Net change</t>
  </si>
  <si>
    <t>Number of ICPs served</t>
  </si>
  <si>
    <t>&gt; 66kV</t>
  </si>
  <si>
    <t>50kV &amp; 66kV</t>
  </si>
  <si>
    <t>33kV</t>
  </si>
  <si>
    <t>SWER (all SWER voltages)</t>
  </si>
  <si>
    <t>22kV (other than SWER)</t>
  </si>
  <si>
    <t>Total overhead length</t>
  </si>
  <si>
    <t>Location *</t>
  </si>
  <si>
    <t>Overhead (km)</t>
  </si>
  <si>
    <t>Underground (km)</t>
  </si>
  <si>
    <t>Class I (interruptions caused by parties not included above)</t>
  </si>
  <si>
    <t>Class G (unplanned interruptions caused by another disclosing entity)</t>
  </si>
  <si>
    <t>Class H (planned interruptions caused by another disclosing entity)</t>
  </si>
  <si>
    <t>Class E (unplanned interruptions of EDB owned generation)</t>
  </si>
  <si>
    <t xml:space="preserve">Urban </t>
  </si>
  <si>
    <t xml:space="preserve">Rural </t>
  </si>
  <si>
    <t>Connections total</t>
  </si>
  <si>
    <t xml:space="preserve">Overhead circuit requiring vegetation management </t>
  </si>
  <si>
    <t xml:space="preserve">Total </t>
  </si>
  <si>
    <t>Network / Sub-network Name</t>
  </si>
  <si>
    <t>($000 unless otherwise specified)</t>
  </si>
  <si>
    <t>Total circuit length (for supply)</t>
  </si>
  <si>
    <t>Distribution switchgear</t>
  </si>
  <si>
    <t>Items at end of year (quantity)</t>
  </si>
  <si>
    <t>Units</t>
  </si>
  <si>
    <t>Low voltage (&lt; 1kV)</t>
  </si>
  <si>
    <t>6.6kV to 11kV (inclusive—other than SWER)</t>
  </si>
  <si>
    <t>GXP demand</t>
  </si>
  <si>
    <t>Net transfers to (from) other EDBs at HV and above</t>
  </si>
  <si>
    <t>Electricity supplied from GXPs</t>
  </si>
  <si>
    <t>Electricity exports to GXPs</t>
  </si>
  <si>
    <t>Net electricity supplied to (from) other EDBs</t>
  </si>
  <si>
    <t>Load factor</t>
  </si>
  <si>
    <t>Distribution transformer capacity (EDB owned)</t>
  </si>
  <si>
    <t>Total distribution transformer capacity</t>
  </si>
  <si>
    <t>Zone substation transformer capacity</t>
  </si>
  <si>
    <t>Overhead circuit length by terrain (at year end)</t>
  </si>
  <si>
    <t>Circuit in sensitive areas (conservation areas, iwi territory etc) (km)</t>
  </si>
  <si>
    <t>System growth</t>
  </si>
  <si>
    <t>Asset replacement and renewal</t>
  </si>
  <si>
    <t>Asset relocations</t>
  </si>
  <si>
    <t>Legislative and regulatory</t>
  </si>
  <si>
    <t>Operational expenditure</t>
  </si>
  <si>
    <t>Routine and corrective maintenance and inspection</t>
  </si>
  <si>
    <t>(MVA)</t>
  </si>
  <si>
    <t>CY-2</t>
  </si>
  <si>
    <t>CY-1</t>
  </si>
  <si>
    <t>Current Year CY</t>
  </si>
  <si>
    <t xml:space="preserve">Mid-point estimate of post tax WACC </t>
  </si>
  <si>
    <t xml:space="preserve">25th percentile estimate </t>
  </si>
  <si>
    <t xml:space="preserve">75th percentile estimate </t>
  </si>
  <si>
    <t xml:space="preserve">Mid-point estimate of vanilla WACC </t>
  </si>
  <si>
    <t>($000)</t>
  </si>
  <si>
    <t>Total opening RAB value</t>
  </si>
  <si>
    <t>Opening deferred tax</t>
  </si>
  <si>
    <t>Opening RIV</t>
  </si>
  <si>
    <t>Operating surplus / (deficit)</t>
  </si>
  <si>
    <t>Regulatory tax allowance</t>
  </si>
  <si>
    <t>Assets commissioned</t>
  </si>
  <si>
    <t>Asset disposals</t>
  </si>
  <si>
    <t>Total closing RAB value</t>
  </si>
  <si>
    <t>Adjustment resulting from asset allocation</t>
  </si>
  <si>
    <t>Lost and found assets adjustment</t>
  </si>
  <si>
    <t>Closing deferred tax</t>
  </si>
  <si>
    <t>Closing RIV</t>
  </si>
  <si>
    <t>Leverage (%)</t>
  </si>
  <si>
    <t>Cost of debt assumption (%)</t>
  </si>
  <si>
    <t>Corporate tax rate (%)</t>
  </si>
  <si>
    <t>Expenses</t>
  </si>
  <si>
    <t>Tax payments</t>
  </si>
  <si>
    <t>April</t>
  </si>
  <si>
    <t>May</t>
  </si>
  <si>
    <t>June</t>
  </si>
  <si>
    <t>July</t>
  </si>
  <si>
    <t>August</t>
  </si>
  <si>
    <t>September</t>
  </si>
  <si>
    <t xml:space="preserve">October </t>
  </si>
  <si>
    <t>November</t>
  </si>
  <si>
    <t>December</t>
  </si>
  <si>
    <t xml:space="preserve">January </t>
  </si>
  <si>
    <t>February</t>
  </si>
  <si>
    <t>March</t>
  </si>
  <si>
    <t>RAB</t>
  </si>
  <si>
    <t>Term credit spread differential allowance</t>
  </si>
  <si>
    <t>Income</t>
  </si>
  <si>
    <t>Total regulatory income</t>
  </si>
  <si>
    <t>Total depreciation</t>
  </si>
  <si>
    <t>Rates</t>
  </si>
  <si>
    <t>Net recoverable costs allowed under incremental rolling incentive scheme</t>
  </si>
  <si>
    <t>Transpower new investment contract charges</t>
  </si>
  <si>
    <t>System operator services</t>
  </si>
  <si>
    <t>CY</t>
  </si>
  <si>
    <t>Allowed controllable opex</t>
  </si>
  <si>
    <t>Actual controllable opex</t>
  </si>
  <si>
    <t>CY-5</t>
  </si>
  <si>
    <t>CY-4</t>
  </si>
  <si>
    <t>CY-3</t>
  </si>
  <si>
    <t>Net incremental rolling incentive scheme</t>
  </si>
  <si>
    <t>Self-insurance allowance</t>
  </si>
  <si>
    <t>Regulatory profit / (loss) before tax</t>
  </si>
  <si>
    <t>Income not included in regulatory profit / (loss) before tax but taxable</t>
  </si>
  <si>
    <t>*</t>
  </si>
  <si>
    <t>Expenditure or loss in regulatory profit / (loss) before tax but not deductible</t>
  </si>
  <si>
    <t>Amortisation of initial differences in asset values</t>
  </si>
  <si>
    <t>Amortisation of revaluations</t>
  </si>
  <si>
    <t>Notional deductible interest</t>
  </si>
  <si>
    <t xml:space="preserve">Regulatory taxable income </t>
  </si>
  <si>
    <t>Utilised tax losses</t>
  </si>
  <si>
    <t>Regulatory net taxable income</t>
  </si>
  <si>
    <t>Opening unamortised initial differences in asset values</t>
  </si>
  <si>
    <t>Adjustment for unamortised initial differences in assets acquired</t>
  </si>
  <si>
    <t>Adjustment for unamortised initial differences in assets disposed</t>
  </si>
  <si>
    <t>Adjusted depreciation</t>
  </si>
  <si>
    <t>Opening tax losses</t>
  </si>
  <si>
    <t xml:space="preserve">Current period tax losses </t>
  </si>
  <si>
    <t xml:space="preserve">Closing tax losses </t>
  </si>
  <si>
    <t>Tax effect of adjusted depreciation</t>
  </si>
  <si>
    <t>Tax effect of other temporary differences*</t>
  </si>
  <si>
    <t>Tax effect of amortisation of initial differences in asset values</t>
  </si>
  <si>
    <t>Deferred tax balance relating to assets acquired in the disclosure year</t>
  </si>
  <si>
    <t>Deferred tax balance relating to assets disposed in the disclosure year</t>
  </si>
  <si>
    <t>Deferred tax cost allocation adjustment</t>
  </si>
  <si>
    <t xml:space="preserve">Closing deferred tax </t>
  </si>
  <si>
    <t>Regulatory tax asset value of assets commissioned</t>
  </si>
  <si>
    <t>Regulatory tax asset value of asset disposals</t>
  </si>
  <si>
    <t>Issue date</t>
  </si>
  <si>
    <t>Pricing date</t>
  </si>
  <si>
    <t>Original tenor (in years)</t>
  </si>
  <si>
    <t>Book value at issue date (NZD)</t>
  </si>
  <si>
    <t>Book value at date of financial statements (NZD)</t>
  </si>
  <si>
    <t>Term Credit Spread Difference</t>
  </si>
  <si>
    <t>Cost of executing an interest rate swap</t>
  </si>
  <si>
    <t xml:space="preserve">Debt issue cost readjustment </t>
  </si>
  <si>
    <t>Gross term credit spread differential</t>
  </si>
  <si>
    <t>Leverage</t>
  </si>
  <si>
    <t>Average opening and closing RAB values</t>
  </si>
  <si>
    <t>Attribution Rate (%)</t>
  </si>
  <si>
    <t xml:space="preserve">Assets commissioned  </t>
  </si>
  <si>
    <t xml:space="preserve">Total closing RAB value </t>
  </si>
  <si>
    <t>Unallocated RAB *</t>
  </si>
  <si>
    <t>Assets commissioned (other than below)</t>
  </si>
  <si>
    <t>Assets acquired from a regulated supplier</t>
  </si>
  <si>
    <t>Assets acquired from a related party</t>
  </si>
  <si>
    <t xml:space="preserve">less </t>
  </si>
  <si>
    <t>Asset disposals (other than below)</t>
  </si>
  <si>
    <t>Asset disposals to a regulated supplier</t>
  </si>
  <si>
    <t>Asset disposals to a related party</t>
  </si>
  <si>
    <t xml:space="preserve">Depreciation - standard </t>
  </si>
  <si>
    <t>Depreciation - modified life assets</t>
  </si>
  <si>
    <t>Depreciation - alternative depreciation in accordance with CPP</t>
  </si>
  <si>
    <t>Depreciation charge for the period (RAB)</t>
  </si>
  <si>
    <t xml:space="preserve">Closing RAB value under 'non-standard' depreciation </t>
  </si>
  <si>
    <t xml:space="preserve">Closing RAB value under 'standard' depreciation </t>
  </si>
  <si>
    <t>Revaluation rate (%)</t>
  </si>
  <si>
    <t xml:space="preserve">Total opening RAB value subject to revaluation </t>
  </si>
  <si>
    <t>Unallocated works under construction</t>
  </si>
  <si>
    <t>Allocated works under construction</t>
  </si>
  <si>
    <t>Works under construction—preceding disclosure year</t>
  </si>
  <si>
    <t>Capital expenditure</t>
  </si>
  <si>
    <t>Works under construction - current disclosure year</t>
  </si>
  <si>
    <t>Highest rate of capitalised finance applied</t>
  </si>
  <si>
    <t>Distribution and LV lines</t>
  </si>
  <si>
    <t>Distribution and LV cables</t>
  </si>
  <si>
    <t>Distribution substations and transformers</t>
  </si>
  <si>
    <t>Asset Life</t>
  </si>
  <si>
    <t>Weighted average remaining asset life</t>
  </si>
  <si>
    <t>Weighted average expected total asset life</t>
  </si>
  <si>
    <t>Asset Replacement and Renewal</t>
  </si>
  <si>
    <t>System Growth</t>
  </si>
  <si>
    <t xml:space="preserve">% variance </t>
  </si>
  <si>
    <t>Market value of asset disposals</t>
  </si>
  <si>
    <t>Other related party transactions</t>
  </si>
  <si>
    <t>Value allocated ($000s)</t>
  </si>
  <si>
    <t>Arm's length deduction</t>
  </si>
  <si>
    <t>Electricity distribution services</t>
  </si>
  <si>
    <t>Non-electricity distribution services</t>
  </si>
  <si>
    <t xml:space="preserve">Directly attributable </t>
  </si>
  <si>
    <t xml:space="preserve">Not directly attributable </t>
  </si>
  <si>
    <t>Total attributable to regulated service</t>
  </si>
  <si>
    <t>Regulated service asset value directly attributable</t>
  </si>
  <si>
    <t>Regulated service asset value not directly attributable</t>
  </si>
  <si>
    <t>Current Year (CY)</t>
  </si>
  <si>
    <t>Change in asset value allocation 1</t>
  </si>
  <si>
    <t>Original allocation</t>
  </si>
  <si>
    <t>Original allocator or line items</t>
  </si>
  <si>
    <t>New allocation</t>
  </si>
  <si>
    <t>New allocator or line items</t>
  </si>
  <si>
    <t>Difference</t>
  </si>
  <si>
    <t>Rationale for change</t>
  </si>
  <si>
    <t>Change in asset value allocation 2</t>
  </si>
  <si>
    <t>Change in asset value allocation 3</t>
  </si>
  <si>
    <t>* a change in asset allocation must be completed for each allocator or component change that has occurred in the disclosure year.  A movement in an allocator metric is not a change in allocator or component.</t>
  </si>
  <si>
    <t xml:space="preserve">Operating costs directly attributable </t>
  </si>
  <si>
    <t>Operating costs not directly attributable</t>
  </si>
  <si>
    <t>Change in cost allocation 1</t>
  </si>
  <si>
    <t>Cost category</t>
  </si>
  <si>
    <t>Change in cost allocation 2</t>
  </si>
  <si>
    <t>Change in cost allocation 3</t>
  </si>
  <si>
    <t>1960
–1969</t>
  </si>
  <si>
    <t>1950
–1959</t>
  </si>
  <si>
    <t>Research and development</t>
  </si>
  <si>
    <t>System operations and network support</t>
  </si>
  <si>
    <t>Asset relocations less capital contributions</t>
  </si>
  <si>
    <t>Items at start of year (quantity)</t>
  </si>
  <si>
    <t>pre-1940</t>
  </si>
  <si>
    <t>1940
–1949</t>
  </si>
  <si>
    <t>Total reliability, safety and environment</t>
  </si>
  <si>
    <t>Reliability, safety and environment:</t>
  </si>
  <si>
    <t xml:space="preserve">Research and development </t>
  </si>
  <si>
    <t>Overhead  Line</t>
  </si>
  <si>
    <t>Subtransmission Line</t>
  </si>
  <si>
    <t>Subtransmission Cable</t>
  </si>
  <si>
    <t xml:space="preserve">Zone substation Buildings </t>
  </si>
  <si>
    <t xml:space="preserve">Zone substation switchgear </t>
  </si>
  <si>
    <t>22/33kV CB (Indoor)</t>
  </si>
  <si>
    <t>22/33kV CB (Outdoor)</t>
  </si>
  <si>
    <t>33kV Switch (Ground Mounted)</t>
  </si>
  <si>
    <t>33kV Switch (Pole Mounted)</t>
  </si>
  <si>
    <t>50/66/110kV CB (Indoor)</t>
  </si>
  <si>
    <t>50/66/110kV CB (Outdoor)</t>
  </si>
  <si>
    <t xml:space="preserve">3.3/6.6/11/22kV CB (ground mounted) </t>
  </si>
  <si>
    <t xml:space="preserve">3.3/6.6/11/22kV CB (pole mounted) </t>
  </si>
  <si>
    <t>Zone Substation Transformers</t>
  </si>
  <si>
    <t>Distribution Line</t>
  </si>
  <si>
    <t>SWER conductor</t>
  </si>
  <si>
    <t>Distribution Cable</t>
  </si>
  <si>
    <t xml:space="preserve">Distribution switchgear </t>
  </si>
  <si>
    <t>3.3/6.6/11/22kV CB (pole mounted) - reclosers and sectionalisers</t>
  </si>
  <si>
    <t>3.3/6.6/11/22kV CB (Indoor)</t>
  </si>
  <si>
    <t>3.3/6.6/11/22kV Switches and fuses (pole mounted)</t>
  </si>
  <si>
    <t>3.3/6.6/11/22kV Switch (ground mounted) - except RMU</t>
  </si>
  <si>
    <t>Distribution Transformer</t>
  </si>
  <si>
    <t xml:space="preserve">Distribution Transformer  </t>
  </si>
  <si>
    <t>Distribution Substations</t>
  </si>
  <si>
    <t>LV Line</t>
  </si>
  <si>
    <t>LV OH Conductor</t>
  </si>
  <si>
    <t>LV Cable</t>
  </si>
  <si>
    <t>LV UG Cable</t>
  </si>
  <si>
    <t>LV OH/UG Streetlight circuit</t>
  </si>
  <si>
    <t>Capacitor Banks</t>
  </si>
  <si>
    <t>Load Control</t>
  </si>
  <si>
    <t>Lot</t>
  </si>
  <si>
    <t>No. with
default
dates</t>
  </si>
  <si>
    <t>Data accuracy
(1–4)</t>
  </si>
  <si>
    <t>Overhead to underground conversion</t>
  </si>
  <si>
    <t>1970
–1979</t>
  </si>
  <si>
    <t>1980
–1989</t>
  </si>
  <si>
    <t>1990
–1999</t>
  </si>
  <si>
    <t>Number of interruptions</t>
  </si>
  <si>
    <t>SAIFI</t>
  </si>
  <si>
    <t>Vegetation</t>
  </si>
  <si>
    <t>Adverse weather</t>
  </si>
  <si>
    <t>Adverse environment</t>
  </si>
  <si>
    <t>Third party interference</t>
  </si>
  <si>
    <t>Defective equipment</t>
  </si>
  <si>
    <t>Cause</t>
  </si>
  <si>
    <t>Main equipment involved</t>
  </si>
  <si>
    <t>Number of Faults</t>
  </si>
  <si>
    <t>Other reliability, safety and environment</t>
  </si>
  <si>
    <t>Standard consumer totals</t>
  </si>
  <si>
    <t xml:space="preserve">Subtransmission other </t>
  </si>
  <si>
    <t>Total distribution line charge revenue</t>
  </si>
  <si>
    <t>Total for all consumers</t>
  </si>
  <si>
    <t>Non-standard consumer totals</t>
  </si>
  <si>
    <t>Number of directly billed ICPs at year end</t>
  </si>
  <si>
    <t>Average no. of ICPs in disclosure year</t>
  </si>
  <si>
    <t>Insurance</t>
  </si>
  <si>
    <t>Commerce Act levies</t>
  </si>
  <si>
    <t xml:space="preserve">Line charge revenue </t>
  </si>
  <si>
    <t>SCHEDULE 5a: REPORT ON REGULATORY TAX ALLOWANCE</t>
  </si>
  <si>
    <t>5a(i): Regulatory Tax Allowance</t>
  </si>
  <si>
    <t>5a(ii): Disclosure of Permanent Differences</t>
  </si>
  <si>
    <t>5a(iii): Amortisation of Initial Difference in Asset Values</t>
  </si>
  <si>
    <t>5a(iv): Amortisation of Revaluations</t>
  </si>
  <si>
    <t xml:space="preserve">5a(v): Reconciliation of Tax Losses </t>
  </si>
  <si>
    <t>5a(vi): Calculation of Deferred Tax Balance</t>
  </si>
  <si>
    <t>5a(vii): Disclosure of Temporary Differences</t>
  </si>
  <si>
    <t>SCHEDULE 4: REPORT ON VALUE OF THE REGULATORY ASSET BASE (ROLLED FORWARD)</t>
  </si>
  <si>
    <t>4(ii): Unallocated Regulatory Asset Base</t>
  </si>
  <si>
    <t>4(i): Regulatory Asset Base Value (Rolled Forward)</t>
  </si>
  <si>
    <t>4(vii): Disclosure by Asset Category</t>
  </si>
  <si>
    <t>SCHEDULE 5b: REPORT ON RELATED PARTY TRANSACTIONS</t>
  </si>
  <si>
    <t>Demand density</t>
  </si>
  <si>
    <t>Volume density</t>
  </si>
  <si>
    <t>Connection point density</t>
  </si>
  <si>
    <t>% of revenue</t>
  </si>
  <si>
    <t>Interruptions per 100 circuit km</t>
  </si>
  <si>
    <t>SCHEDULE 9a: ASSET REGISTER</t>
  </si>
  <si>
    <t>SCHEDULE 9b: ASSET AGE PROFILE</t>
  </si>
  <si>
    <t>SCHEDULE 9d: REPORT ON EMBEDDED NETWORKS</t>
  </si>
  <si>
    <t>SCHEDULE 10: REPORT ON NETWORK RELIABILITY</t>
  </si>
  <si>
    <t>10(i): Interruptions</t>
  </si>
  <si>
    <t>10(ii): Class C Interruptions and Duration by Cause</t>
  </si>
  <si>
    <t>10(iii): Class B Interruptions and Duration by Main Equipment Involved</t>
  </si>
  <si>
    <t>10(iv): Class C Interruptions and Duration by Main Equipment Involved</t>
  </si>
  <si>
    <t>10(v): Fault Rate</t>
  </si>
  <si>
    <t>Number of connections (ICPs)</t>
  </si>
  <si>
    <t>Wildlife</t>
  </si>
  <si>
    <t>SCHEDULE 1: ANALYTICAL RATIOS</t>
  </si>
  <si>
    <t>Incremental change in year</t>
  </si>
  <si>
    <t>Provide commentary on the benefits of merger and acquisition expenditure to the electricity distribution business, including required disclosures in accordance with section 2.7, in Schedule 14 (Mandatory Explanatory Notes)</t>
  </si>
  <si>
    <t>Pass through and recoverable costs</t>
  </si>
  <si>
    <t>Previous years' incremental change</t>
  </si>
  <si>
    <t>Previous years' incremental change adjusted for inflation</t>
  </si>
  <si>
    <t xml:space="preserve"> Pass through costs</t>
  </si>
  <si>
    <t xml:space="preserve"> Recoverable costs</t>
  </si>
  <si>
    <t>*   Workings to be provided in Schedule 14</t>
  </si>
  <si>
    <t>5a(viii): Regulatory Tax Asset Base Roll-Forward</t>
  </si>
  <si>
    <t xml:space="preserve">Closing sum of regulatory tax asset values </t>
  </si>
  <si>
    <t xml:space="preserve">This schedule is only to be completed if, as at the date of the most recently published financial statements, the weighted average original tenor of the debt portfolio (both qualifying debt and non-qualifying debt) is greater than five years.
This information is part of audited disclosure information (as defined in section 1.4 of the ID determination), and so is subject to the assurance report required by section 2.8.
</t>
  </si>
  <si>
    <t>[Select one]</t>
  </si>
  <si>
    <t>Asset category transfers</t>
  </si>
  <si>
    <t>Total revaluations</t>
  </si>
  <si>
    <t>Tax depreciation</t>
  </si>
  <si>
    <t xml:space="preserve">This schedule provides information on the valuation of related party transactions, in accordance with section 2.3.6 and 2.3.7 of the ID determination. 
This information is part of audited disclosure information (as defined in section 1.4 of the ID determination), and so is subject to the assurance report required by section 2.8.
</t>
  </si>
  <si>
    <t>* a change in cost allocation must be completed for each cost allocator change that has occurred in the disclosure year.  A movement in an allocator metric is not a change in allocator or component.</t>
  </si>
  <si>
    <t>Non-network assets</t>
  </si>
  <si>
    <t>SCADA and communications equipment operating as a single system</t>
  </si>
  <si>
    <t>For Year Ended</t>
  </si>
  <si>
    <t>Number of assets at disclosure year end by installation date</t>
  </si>
  <si>
    <t>Circuit length by operating voltage (at year end)</t>
  </si>
  <si>
    <t>Dedicated street lighting circuit length (km)</t>
  </si>
  <si>
    <t>(% of total overhead length)</t>
  </si>
  <si>
    <t>(% of total circuit length)</t>
  </si>
  <si>
    <t xml:space="preserve">Remote only </t>
  </si>
  <si>
    <t>Rugged only</t>
  </si>
  <si>
    <t>Remote and rugged</t>
  </si>
  <si>
    <t>Line charge revenue ($000)</t>
  </si>
  <si>
    <t>Maximum coincident system demand</t>
  </si>
  <si>
    <t>9e(ii): System Demand</t>
  </si>
  <si>
    <t>SAIFI and SAIDI by class</t>
  </si>
  <si>
    <t>Classes B &amp; C (interruptions on the network)</t>
  </si>
  <si>
    <t>Normalised SAIFI</t>
  </si>
  <si>
    <t>Normalised SAIDI</t>
  </si>
  <si>
    <t>* not applicable to exempt EDBs</t>
  </si>
  <si>
    <t>Interruption restoration</t>
  </si>
  <si>
    <t>Class C interruptions restored within</t>
  </si>
  <si>
    <t>Class A (planned interruptions by Transpower)</t>
  </si>
  <si>
    <t>Class F (unplanned interruptions of generation owned by others)</t>
  </si>
  <si>
    <t>Circuit length (km)</t>
  </si>
  <si>
    <t>Subtransmission lines</t>
  </si>
  <si>
    <t>Other network assets</t>
  </si>
  <si>
    <t>Network / Sub-Network Name</t>
  </si>
  <si>
    <t>Total transmission line charge revenue (if available)</t>
  </si>
  <si>
    <t>Energy intensity</t>
  </si>
  <si>
    <t>Consumer connection</t>
  </si>
  <si>
    <t>9e(i): Consumer Connections</t>
  </si>
  <si>
    <t>Consumer connection less capital contributions</t>
  </si>
  <si>
    <t>Number of ICPs connected in year by consumer type</t>
  </si>
  <si>
    <t>Capital contributions funding quality of supply</t>
  </si>
  <si>
    <t>Capital contributions funding other reliability, safety and environment</t>
  </si>
  <si>
    <t>Quality of supply less capital contributions</t>
  </si>
  <si>
    <t>Legislative and regulatory less capital contributions</t>
  </si>
  <si>
    <t>Other reliability, safety and environment less capital contributions</t>
  </si>
  <si>
    <t>Direct billing*</t>
  </si>
  <si>
    <t>Demand on system for supply to consumers' connection points</t>
  </si>
  <si>
    <t>Electricity entering system for supply to consumers' connection points</t>
  </si>
  <si>
    <t>OH/UG consumer service connections</t>
  </si>
  <si>
    <t>Capital contributions funding legislative and regulatory</t>
  </si>
  <si>
    <t>Length of circuit within 10km of coastline or geothermal areas (where known)</t>
  </si>
  <si>
    <t xml:space="preserve">This schedule requires a summary of the quantity of assets that make up the network, by asset category and asset class. All units relating to cable and line assets, that are expressed in km, refer to circuit lengths.
</t>
  </si>
  <si>
    <t xml:space="preserve">This schedule requires a summary of the age profile (based on year of installation) of the assets that make up the network, by asset category and asset class. All units relating to cable and line assets, that are expressed in km, refer to circuit lengths.
</t>
  </si>
  <si>
    <t xml:space="preserve">This schedule requires a summary of the key characteristics of the overhead line and underground cable network. All units relating to cable and line assets, that are expressed in km, refer to circuit lengths.
</t>
  </si>
  <si>
    <t>Distributed generation</t>
  </si>
  <si>
    <t>Distributed generation output at HV and above</t>
  </si>
  <si>
    <t>Electricity supplied from distributed generation</t>
  </si>
  <si>
    <t xml:space="preserve">This schedule requires a summary of the key measures of network utilisation for the disclosure year (number of new connections including distributed generation, peak demand and electricity volumes conveyed).
</t>
  </si>
  <si>
    <t>Subtransmission cables</t>
  </si>
  <si>
    <t>Subtransmission</t>
  </si>
  <si>
    <t xml:space="preserve">Cause unknown </t>
  </si>
  <si>
    <t>Electricity losses (loss ratio)</t>
  </si>
  <si>
    <t>Consumer group name or price category code</t>
  </si>
  <si>
    <t>8(iii): Number of ICPs directly billed</t>
  </si>
  <si>
    <t>Billed quantities by price component</t>
  </si>
  <si>
    <t>Add extra columns for additional billed quantities by price component as necessary</t>
  </si>
  <si>
    <t>Total line charge revenue in disclosure year</t>
  </si>
  <si>
    <t>Energy delivered to ICPs in disclosure year (MWh)</t>
  </si>
  <si>
    <t xml:space="preserve">Zone Substation Transformer  </t>
  </si>
  <si>
    <t>Total energy delivered to ICPs</t>
  </si>
  <si>
    <t>Network opex</t>
  </si>
  <si>
    <t>Non-network opex</t>
  </si>
  <si>
    <t>Total consumer line charge revenue</t>
  </si>
  <si>
    <t>Standard consumer line charge revenue</t>
  </si>
  <si>
    <t>Non-standard consumer line charge revenue</t>
  </si>
  <si>
    <t>4(iii): Calculation of Revaluation Rate and Revaluation of Assets</t>
  </si>
  <si>
    <t>4(iv): Roll Forward of Works Under Construction</t>
  </si>
  <si>
    <t>4(v): Regulatory Depreciation</t>
  </si>
  <si>
    <t>4(vi): Disclosure of Changes to Depreciation Profiles</t>
  </si>
  <si>
    <t>LV Street lighting</t>
  </si>
  <si>
    <t>Interruptions by class</t>
  </si>
  <si>
    <t>Reason for non-standard depreciation (text entry)</t>
  </si>
  <si>
    <t>Interruption rate</t>
  </si>
  <si>
    <t>Actual ($000)</t>
  </si>
  <si>
    <t>Line charge revenue</t>
  </si>
  <si>
    <t>Forecast ($000) ²</t>
  </si>
  <si>
    <t>* Direct billing expenditure by suppliers that directly bill the majority of their consumers</t>
  </si>
  <si>
    <t>Total circuit length (km)</t>
  </si>
  <si>
    <t xml:space="preserve">This schedule requires information concerning embedded networks owned by an EDB that are embedded in another EDB’s network or in another embedded network.
</t>
  </si>
  <si>
    <t>* Extend embedded distribution networks table as necessary to disclose each embedded network owned by the EDB which is embedded in another EDB’s network or in another embedded network</t>
  </si>
  <si>
    <t>connections</t>
  </si>
  <si>
    <t>MVA</t>
  </si>
  <si>
    <t>Demand at time of maximum coincident demand (MW)</t>
  </si>
  <si>
    <t>Electricity volumes carried</t>
  </si>
  <si>
    <t>Energy (GWh)</t>
  </si>
  <si>
    <t>Price component</t>
  </si>
  <si>
    <t>Standard or non-standard consumer group (specify)</t>
  </si>
  <si>
    <t>Check</t>
  </si>
  <si>
    <t>Quality path normalised reliability limit</t>
  </si>
  <si>
    <t>Fault rate (faults per 100km)</t>
  </si>
  <si>
    <t>* these year-end ROI values are comparable to the ROI reported in pre 2012 disclosures by EDBs and do not represent the Commission's current view on ROI.</t>
  </si>
  <si>
    <t>Target ($000) ¹</t>
  </si>
  <si>
    <t>SCHEDULE 9c: REPORT ON OVERHEAD LINES AND UNDERGROUND CABLES</t>
  </si>
  <si>
    <t>Issuing party</t>
  </si>
  <si>
    <t>Coupon rate (%)</t>
  </si>
  <si>
    <t>Capital contributions funding system growth and asset replacement and renewal</t>
  </si>
  <si>
    <t>Capital contributions funding consumer connection expenditure</t>
  </si>
  <si>
    <t>SAIFI reliability limit</t>
  </si>
  <si>
    <t>SAIDI reliability limit</t>
  </si>
  <si>
    <t>System growth and asset replacement and renewal less capital contributions</t>
  </si>
  <si>
    <t>(years)</t>
  </si>
  <si>
    <t>1(i): Expenditure metrics</t>
  </si>
  <si>
    <t>1(ii): Revenue metrics</t>
  </si>
  <si>
    <t>1(iii): Service intensity measures</t>
  </si>
  <si>
    <t>1(iv): Composition of regulatory income</t>
  </si>
  <si>
    <t>1(v): Reliability</t>
  </si>
  <si>
    <t>5b(i): Summary—Related Party Transactions</t>
  </si>
  <si>
    <t>5b(ii): Entities Involved in Related Party Transactions</t>
  </si>
  <si>
    <t>5b(iii): Related Party Transactions</t>
  </si>
  <si>
    <t>Consumer types defined by EDB*</t>
  </si>
  <si>
    <t>Project or programme*</t>
  </si>
  <si>
    <t>Number of connections made in year</t>
  </si>
  <si>
    <t>Capacity of distributed generation installed in year</t>
  </si>
  <si>
    <t xml:space="preserve">This schedule requires the billed quantities and associated line charge revenues for each price category code used by the EDB in its pricing schedules. Information is also required on the number of ICPs that are included in each consumer group or price category code, and the energy delivered to these ICPs.
</t>
  </si>
  <si>
    <t>Add extra rows for additional consumer groups or price category codes as necessary</t>
  </si>
  <si>
    <t>Energy efficiency and demand side management, reduction of energy losses</t>
  </si>
  <si>
    <t>SCHEDULE 9e: REPORT ON NETWORK DEMAND</t>
  </si>
  <si>
    <t>Gains / (losses) on asset disposals</t>
  </si>
  <si>
    <t>Other regulated income (other than gains / (losses) on asset disposals)</t>
  </si>
  <si>
    <t>SCHEDULE 7: COMPARISON OF FORECASTS TO ACTUAL EXPENDITURE</t>
  </si>
  <si>
    <t>7(i): Revenue</t>
  </si>
  <si>
    <t xml:space="preserve">7(iii): Operational Expenditure  </t>
  </si>
  <si>
    <t>SCHEDULE 2: REPORT ON RETURN ON INVESTMENT</t>
  </si>
  <si>
    <t>2(i): Return on Investment</t>
  </si>
  <si>
    <t>2(ii): Information Supporting the ROI</t>
  </si>
  <si>
    <t>2(iii): Information Supporting the Monthly ROI</t>
  </si>
  <si>
    <t>2(iv): Year-End ROI Rates for Comparison Purposes</t>
  </si>
  <si>
    <t>SCHEDULE 5c: REPORT ON TERM CREDIT SPREAD DIFFERENTIAL ALLOWANCE</t>
  </si>
  <si>
    <t>5c(i): Qualifying Debt (may be Commission only)</t>
  </si>
  <si>
    <t>5c(ii): Attribution of Term Credit Spread Differential</t>
  </si>
  <si>
    <t>SCHEDULE 5e: REPORT ON ASSET ALLOCATIONS</t>
  </si>
  <si>
    <t>SCHEDULE 3: REPORT ON REGULATORY PROFIT</t>
  </si>
  <si>
    <t>3(i): Regulatory Profit</t>
  </si>
  <si>
    <t>3(iii): Incremental Rolling Incentive Scheme</t>
  </si>
  <si>
    <t>3(iv): Merger and Acquisition Expenditure</t>
  </si>
  <si>
    <t>3(v): Other Disclosures</t>
  </si>
  <si>
    <t>SCHEDULE 5d: REPORT ON COST ALLOCATIONS</t>
  </si>
  <si>
    <t>5d(i): Operating Cost Allocations</t>
  </si>
  <si>
    <t>5d(ii): Other Cost Allocations</t>
  </si>
  <si>
    <t xml:space="preserve">SCHEDULE 6a: REPORT ON CAPITAL EXPENDITURE FOR THE DISCLOSURE YEAR </t>
  </si>
  <si>
    <t>6a(iii): Consumer Connection</t>
  </si>
  <si>
    <t>6a(iv): System Growth and Asset Replacement and Renewal</t>
  </si>
  <si>
    <t>6a(v): Asset Relocations</t>
  </si>
  <si>
    <t>6a(vi): Quality of Supply</t>
  </si>
  <si>
    <t>6a(vii): Legislative and Regulatory</t>
  </si>
  <si>
    <t>6a(viii): Other Reliability, Safety and Environment</t>
  </si>
  <si>
    <t>SCHEDULE 6b: REPORT ON OPERATIONAL EXPENDITURE FOR THE DISCLOSURE YEAR</t>
  </si>
  <si>
    <t>6b(i): Operational Expenditure</t>
  </si>
  <si>
    <t>6b(ii): Subcomponents of Operational Expenditure (where known)</t>
  </si>
  <si>
    <t xml:space="preserve">This schedule requires information on the Return on Investment (ROI) for the EDB relative to the Commerce Commission's estimates of post tax WACC and vanilla WACC. EDBs must calculate their ROI based on a monthly basis if required by clause 2.3.3 of the ID Determination or if they elect to.  If an EDB makes this election, information supporting this calculation must be provided in 2(iii). 
EDBs must provide explanatory comment on their ROI in Schedule 14 (Mandatory Explanatory Notes).
This information is part of audited disclosure information (as defined in section 1.4 of the ID determination), and so is subject to the assurance report required by section 2.8.
</t>
  </si>
  <si>
    <t xml:space="preserve">This schedule requires information on the calculation of the Regulatory Asset Base (RAB) value to the end of this disclosure year. This informs the ROI calculation in Schedule 2. 
EDBs must provide explanatory comment on the value of their RAB in Schedule 14 (Mandatory Explanatory Notes). This information is part of audited disclosure information (as defined in section 1.4 of the ID determination), and so is subject to the assurance report required by section 2.8.
</t>
  </si>
  <si>
    <t xml:space="preserve">This schedule requires information on the calculation of the regulatory tax allowance. This information is used to calculate regulatory profit/loss in Schedule 3 (regulatory profit).  EDBs must provide explanatory commentary on the information disclosed in this schedule, in Schedule 14 (Mandatory Explanatory Notes).
This information is part of audited disclosure information (as defined in section 1.4 of the ID determination), and so is subject to the assurance report required by section 2.8.
</t>
  </si>
  <si>
    <t xml:space="preserve">This schedule provides information on the allocation of operational costs.  EDBs must provide explanatory comment on their cost allocation in Schedule 14 (Mandatory Explanatory Notes), including on the impact of any reclassifications.
This information is part of audited disclosure information (as defined in section 1.4 of the ID determination), and so is subject to the assurance report required by section 2.8.
</t>
  </si>
  <si>
    <t xml:space="preserve">This schedule requires information on the allocation of asset values. This information supports the calculation of the RAB value in Schedule 4.
EDBs must provide explanatory comment on their cost allocation in Schedule 14 (Mandatory Explanatory Notes), including on the impact of any changes in asset allocations. This information is part of audited disclosure information (as defined in section 1.4 of the ID determination), and so is subject to the assurance report required by section 2.8.
</t>
  </si>
  <si>
    <t>6a(i): Expenditure on Assets</t>
  </si>
  <si>
    <t>Expenditure on assets</t>
  </si>
  <si>
    <t>Cost of financing</t>
  </si>
  <si>
    <t>Value of vested assets</t>
  </si>
  <si>
    <t>Consumer connection expenditure</t>
  </si>
  <si>
    <t>6a(ii): Subcomponents of Expenditure on Assets (where known)</t>
  </si>
  <si>
    <t>System growth and asset replacement and renewal expenditure</t>
  </si>
  <si>
    <t>Asset relocations expenditure</t>
  </si>
  <si>
    <t>Quality of supply expenditure</t>
  </si>
  <si>
    <t>Legislative and regulatory expenditure</t>
  </si>
  <si>
    <t>Other reliability, safety and environment expenditure</t>
  </si>
  <si>
    <t>6a(ix): Non-Network Assets</t>
  </si>
  <si>
    <t>7(ii): Expenditure on Assets</t>
  </si>
  <si>
    <t>7(iv): Subcomponents of Expenditure on Assets (where known)</t>
  </si>
  <si>
    <t xml:space="preserve">7(v): Subcomponents of Operational Expenditure (where known) </t>
  </si>
  <si>
    <t>Consumer type or types (eg, residential, commercial etc.)</t>
  </si>
  <si>
    <t>Add extra columns for additional line charge revenues by price component as necessary</t>
  </si>
  <si>
    <t>Network</t>
  </si>
  <si>
    <t>Non-network</t>
  </si>
  <si>
    <t>Expenditure on network assets</t>
  </si>
  <si>
    <t xml:space="preserve">This schedule compares actual revenue and expenditure to the previous forecasts that were made for the disclosure year. Accordingly, this schedule requires the forecast revenue and expenditure information from previous disclosures to be inserted. 
EDBs must provide explanatory comment on the variance between actual and target revenue and forecast expenditure in Schedule 14 (Mandatory Explanatory Notes). This information is part of the audited disclosure information (as defined in section 1.4 of the ID determination), and so is subject to the assurance report required by section 2.8. For the purpose of this audit, target revenue and forecast expenditures only need to be verified back to previous disclosures.
</t>
  </si>
  <si>
    <t>8(i): Billed Quantities by Price Component</t>
  </si>
  <si>
    <t>8(ii): Line Charge Revenues ($000) by Price Component</t>
  </si>
  <si>
    <t xml:space="preserve">This schedule requires a summary of the key measures of network reliability (interruptions, SAIDI, SAIFI and fault rate) for the disclosure year. EDBs must provide explanatory comment on their network reliability for the disclosure year in Schedule 14 (Explanatory notes to templates). The SAIFI and SAIDI information is part of audited disclosure information (as defined in section 1.4 of the ID determination), and so is subject to the assurance report required by section 2.8.
</t>
  </si>
  <si>
    <t>Depreciation - no standard life assets</t>
  </si>
  <si>
    <t>Value of capital contributions</t>
  </si>
  <si>
    <t>Unit charging basis (eg, days, kW of demand, kVA of capacity, etc.)</t>
  </si>
  <si>
    <t>Normalised SAIFI and SAIDI</t>
  </si>
  <si>
    <t>SAIFI and SAIDI limits applicable to disclosure year*</t>
  </si>
  <si>
    <t>SCHEDULE 8: REPORT ON BILLED QUANTITIES AND LINE CHARGE REVENUES</t>
  </si>
  <si>
    <t>from S4</t>
  </si>
  <si>
    <t>from S5a</t>
  </si>
  <si>
    <t>from S3</t>
  </si>
  <si>
    <t>from S8</t>
  </si>
  <si>
    <t>from S6b</t>
  </si>
  <si>
    <t>to row 17</t>
  </si>
  <si>
    <t>from row 31</t>
  </si>
  <si>
    <t>from row 33</t>
  </si>
  <si>
    <t>to row 10</t>
  </si>
  <si>
    <t>from S5e</t>
  </si>
  <si>
    <t>from S6a</t>
  </si>
  <si>
    <t>from row 37</t>
  </si>
  <si>
    <t>to row 12</t>
  </si>
  <si>
    <t>from row 83</t>
  </si>
  <si>
    <t>from row 64</t>
  </si>
  <si>
    <t>to row 8</t>
  </si>
  <si>
    <t>to row 11</t>
  </si>
  <si>
    <t>to row 13</t>
  </si>
  <si>
    <t>to row 14</t>
  </si>
  <si>
    <t>to row 15</t>
  </si>
  <si>
    <t>to row 18</t>
  </si>
  <si>
    <t>to row 16</t>
  </si>
  <si>
    <t>to row 20</t>
  </si>
  <si>
    <t>to row 22</t>
  </si>
  <si>
    <t>from S9c &amp; S9e</t>
  </si>
  <si>
    <t>from S8 &amp; S9c</t>
  </si>
  <si>
    <t>from S9c &amp; S10</t>
  </si>
  <si>
    <t>to S2</t>
  </si>
  <si>
    <t>from row 38 &amp; to S2</t>
  </si>
  <si>
    <t>from row 47 &amp; to S2</t>
  </si>
  <si>
    <t>from row 49 to S2</t>
  </si>
  <si>
    <t>to S3</t>
  </si>
  <si>
    <t>to row 33 &amp; S3</t>
  </si>
  <si>
    <t>to row 31 &amp; S3</t>
  </si>
  <si>
    <t>to S4</t>
  </si>
  <si>
    <t>to 5a</t>
  </si>
  <si>
    <t>from row 38 &amp; to S7</t>
  </si>
  <si>
    <t>from row 52 &amp; to S7</t>
  </si>
  <si>
    <t>from row 65 &amp; to S7</t>
  </si>
  <si>
    <t>from row 78 &amp; to S7</t>
  </si>
  <si>
    <t>from row 90 &amp; to S7</t>
  </si>
  <si>
    <t>from row 102 &amp; to S7</t>
  </si>
  <si>
    <t>to S7</t>
  </si>
  <si>
    <t>to S1</t>
  </si>
  <si>
    <t>Closing unamortised initial differences in asset values</t>
  </si>
  <si>
    <t>sch ref</t>
  </si>
  <si>
    <t>IRR</t>
  </si>
  <si>
    <t>Opening sum of regulatory tax asset values</t>
  </si>
  <si>
    <t>This schedule requires a breakdown of capital expenditure on assets incurred in the disclosure year, including any assets in respect of which capital contributions are received, but excluding assets that are vested assets. Information on expenditure on assets must be provided on an accounting accruals basis and must exclude finance costs.  
EDBs must provide explanatory comment on their expenditure on assets in Schedule 14 (Explanatory Notes to Templates).
This information is part of audited disclosure information (as defined in section 1.4 of the ID determination), and so is subject to the assurance report required by section 2.8.</t>
  </si>
  <si>
    <t xml:space="preserve">to row 20 </t>
  </si>
  <si>
    <t>from row 16</t>
  </si>
  <si>
    <t>Total book value of interest bearing debt</t>
  </si>
  <si>
    <r>
      <t>CPI</t>
    </r>
    <r>
      <rPr>
        <vertAlign val="subscript"/>
        <sz val="10"/>
        <rFont val="Calibri"/>
        <family val="2"/>
      </rPr>
      <t>4</t>
    </r>
    <r>
      <rPr>
        <vertAlign val="superscript"/>
        <sz val="10"/>
        <rFont val="Calibri"/>
        <family val="2"/>
      </rPr>
      <t>-4</t>
    </r>
  </si>
  <si>
    <r>
      <t>CPI</t>
    </r>
    <r>
      <rPr>
        <vertAlign val="subscript"/>
        <sz val="10"/>
        <rFont val="Calibri"/>
        <family val="2"/>
      </rPr>
      <t>4</t>
    </r>
  </si>
  <si>
    <t>In Schedule 14, Box 5, provide descriptions and workings of items recorded in the asterisked categories in Schedule 5a(i).</t>
  </si>
  <si>
    <t>In Schedule 14, Box 6, provide descriptions and workings of items recorded in the asterisked category in Schedule 5a(vi) (Tax effect of other temporary differences).</t>
  </si>
  <si>
    <t>Information Templates</t>
  </si>
  <si>
    <t>9e(iii): Transformer Capacity</t>
  </si>
  <si>
    <t>from S6b, S8, S9c, S9e</t>
  </si>
  <si>
    <t>from S6a, S8, S9c, S9e</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</si>
  <si>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</si>
  <si>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</si>
  <si>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</si>
  <si>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</si>
  <si>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</si>
  <si>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</si>
  <si>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Conditional Formatting Settings on Data Entry Cells</t>
  </si>
  <si>
    <t>Inserting Additional Rows and Columns</t>
  </si>
  <si>
    <t>Disclosures by Sub-Network</t>
  </si>
  <si>
    <t>Schedule References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</si>
  <si>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</si>
  <si>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</si>
  <si>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Data entered into this workbook may be entered only into the data entry cells. Data entry cells are the bordered, unshaded areas (white cells) in each template.  Under no circumstances should data be entered into the workbook outside a data entry cell.</t>
  </si>
  <si>
    <t>Worksheet Completion Sequence</t>
  </si>
  <si>
    <t xml:space="preserve">Calculation cells may show an incorrect value until precedent cell entries have been completed. Data entry may be assisted by completing the schedules in the following order: </t>
  </si>
  <si>
    <t>Capital contributions funding asset relocations</t>
  </si>
  <si>
    <t>Column conditional formatting</t>
  </si>
  <si>
    <t>* include additional rows if needed</t>
  </si>
  <si>
    <t>Asset or assets with changes to depreciation*</t>
  </si>
  <si>
    <t xml:space="preserve">Name of related party </t>
  </si>
  <si>
    <t>Related party relationship</t>
  </si>
  <si>
    <t>Related party transaction type</t>
  </si>
  <si>
    <t>Description of transaction</t>
  </si>
  <si>
    <t>Value of transaction
($000)</t>
  </si>
  <si>
    <t>Basis for determining value</t>
  </si>
  <si>
    <t>Table 4(ii)</t>
  </si>
  <si>
    <t>Agrees with Table 4(ii)</t>
  </si>
  <si>
    <t>Schedules 1–10</t>
  </si>
  <si>
    <t>Other adjustments to the RAB tax value</t>
  </si>
  <si>
    <t>Cell G18</t>
  </si>
  <si>
    <t>Test for cell G30 conditional formatting</t>
  </si>
  <si>
    <t>5d(iii): Changes in Cost Allocations* †</t>
  </si>
  <si>
    <t>† include additional rows if needed</t>
  </si>
  <si>
    <t>5e(ii): Changes in Asset Allocations* †</t>
  </si>
  <si>
    <t>Distribution lines (excluding LV)</t>
  </si>
  <si>
    <t>Distribution cables (excluding LV)</t>
  </si>
  <si>
    <t>Distribution other (excluding LV)</t>
  </si>
  <si>
    <t>from row 38</t>
  </si>
  <si>
    <t>If the supplier has sub-networks, schedules 8, 9a, 9b, 9c, 9e, and 10 must be completed for the network and for each sub-network. A copy of the schedule worksheet(s) must be made for each sub-network and named accordingly.</t>
  </si>
  <si>
    <t>The template for schedule 8 may require additional columns to be inserted between column P and U. To avoid interfering with the title block entries, these should be inserted to the left of column S. If inserting additional columns, the formulas for standard consumers total, non-standard consumers totals and total for all consumers will need to be copied into the cells of the added columns. The formulas can be found in the equivalent cells of the existing columns.</t>
  </si>
  <si>
    <t>Line charge revenues ($000) by price component</t>
  </si>
  <si>
    <t>Opening value of fully depreciated, disposed and lost assets</t>
  </si>
  <si>
    <t>Rate (eg, $ per day, $ per kWh, etc.)</t>
  </si>
  <si>
    <t>Maximum coincident system demand per km of circuit length (for supply) (kW/km)</t>
  </si>
  <si>
    <t>Total energy delivered to ICPs per km of circuit length (for supply) (MWh/km)</t>
  </si>
  <si>
    <t>Average number of ICPs per km of circuit length (for supply) (ICPs/km)</t>
  </si>
  <si>
    <t xml:space="preserve">ROI – comparable to a post tax WACC </t>
  </si>
  <si>
    <t xml:space="preserve">ROI – comparable to a vanilla WACC </t>
  </si>
  <si>
    <t xml:space="preserve">Monthly ROI – comparable to a vanilla WACC </t>
  </si>
  <si>
    <t xml:space="preserve">Monthly ROI – comparable to a post tax WACC </t>
  </si>
  <si>
    <t xml:space="preserve">Year-end ROI – comparable to a vanilla WACC </t>
  </si>
  <si>
    <t xml:space="preserve">Year-end ROI – comparable to a post tax WACC </t>
  </si>
  <si>
    <t>No. with age unknown</t>
  </si>
  <si>
    <t>All other projects or programmes - asset relocations</t>
  </si>
  <si>
    <t>All other projects programmes - quality of supply</t>
  </si>
  <si>
    <t>All other projects or programmes - legislative and regulatory</t>
  </si>
  <si>
    <t>All other projects or programmes - other reliability, safety and environment</t>
  </si>
  <si>
    <t>Merger and acquisition expenditure</t>
  </si>
  <si>
    <t>All other projects or programmes - atypical expenditure</t>
  </si>
  <si>
    <t>All other projects or programmes - routine expenditure</t>
  </si>
  <si>
    <t>Tax effect of tax depreciation</t>
  </si>
  <si>
    <t>Tax payable</t>
  </si>
  <si>
    <t>Cashflow</t>
  </si>
  <si>
    <t>Cashflow at year-end</t>
  </si>
  <si>
    <t>Days before</t>
  </si>
  <si>
    <t>Transaction</t>
  </si>
  <si>
    <t>year-end</t>
  </si>
  <si>
    <t>date</t>
  </si>
  <si>
    <t>Investing cash flow at year-start</t>
  </si>
  <si>
    <t>Mid month cash flow from Apr accruals</t>
  </si>
  <si>
    <t>Mid month cash flow from May accruals</t>
  </si>
  <si>
    <t>Mid month cash flow from Jun accruals</t>
  </si>
  <si>
    <t>Mid month cash flow from Jul accruals</t>
  </si>
  <si>
    <t>Mid month cash flow from Aug accruals</t>
  </si>
  <si>
    <t>Mid month cash flow from Sep accruals</t>
  </si>
  <si>
    <t>Mid month cash flow from Oct accruals</t>
  </si>
  <si>
    <t>Mid month cash flow from Nov accruals</t>
  </si>
  <si>
    <t>Mid month cash flow from Dec accruals</t>
  </si>
  <si>
    <t>Mid month cash flow from Jan accruals</t>
  </si>
  <si>
    <t>Mid month cash flow from Feb accruals</t>
  </si>
  <si>
    <t>Mid month cash flow from Mar accruals</t>
  </si>
  <si>
    <t>20th following mth cash flow from Apr accrual</t>
  </si>
  <si>
    <t>20th following mth cash flow from May accrual</t>
  </si>
  <si>
    <t>20th following mth cash flow from Jun accrual</t>
  </si>
  <si>
    <t>20th following mth cash flow from Jul accrual</t>
  </si>
  <si>
    <t>20th following mth cash flow from Aug accrual</t>
  </si>
  <si>
    <t>20th following mth cash flow from Sep accrual</t>
  </si>
  <si>
    <t>20th following mth cash flow from Oct accrual</t>
  </si>
  <si>
    <t>20th following mth cash flow from Nov accrual</t>
  </si>
  <si>
    <t>20th following mth cash flow from Dec accrual</t>
  </si>
  <si>
    <t>20th following mth cash flow from Jan accrual</t>
  </si>
  <si>
    <t>20th following mth cash flow from Feb accrual</t>
  </si>
  <si>
    <t>20th following mth cash flow from Mar accrual</t>
  </si>
  <si>
    <t>Mid Year ROI Calculation</t>
  </si>
  <si>
    <t>Monthly ROI Calculation</t>
  </si>
  <si>
    <t>add</t>
  </si>
  <si>
    <t>Other regulated income</t>
  </si>
  <si>
    <t xml:space="preserve">*  The 'unallocated RAB' is the total value of those assets used wholly or partially to provide electricity distribution services without any allowance being made for the allocation of costs to services provided by the supplier that are not electricity distribution services.  The RAB value represents the value of these assets after applying this cost allocation.  Neither value includes works under construction. </t>
  </si>
  <si>
    <t>Discretionary discounts and customer rebates</t>
  </si>
  <si>
    <t>Notional revenue foregone from posted discounts (if applicable)</t>
  </si>
  <si>
    <t xml:space="preserve">Other regulated income </t>
  </si>
  <si>
    <t>Mid-year net cash outflows</t>
  </si>
  <si>
    <t>Financial incentives</t>
  </si>
  <si>
    <t>Monthly net cash outflows</t>
  </si>
  <si>
    <t>Expenses cash outflow</t>
  </si>
  <si>
    <t>Industry levies</t>
  </si>
  <si>
    <t>CPP specified pass through costs</t>
  </si>
  <si>
    <t>Electricity lines service charge payable to Transpower</t>
  </si>
  <si>
    <t>Total energy delivered to ICPs per average number of ICPs (kWh/ICP)</t>
  </si>
  <si>
    <t>Opening weighted average remaining useful life of relevant assets (years)</t>
  </si>
  <si>
    <t>Expenditure on non-network assets</t>
  </si>
  <si>
    <t>Distributed generation allowance</t>
  </si>
  <si>
    <t>Energy efficiency and demand incentive allowance</t>
  </si>
  <si>
    <t>Quality incentive adjustment</t>
  </si>
  <si>
    <t>Distribution transformer capacity (Non-EDB owned, estimated)</t>
  </si>
  <si>
    <t>Pass through costs</t>
  </si>
  <si>
    <t>1  From the nominal dollar target revenue for the disclosure year disclosed under clause 2.4.3(3) of this determination</t>
  </si>
  <si>
    <t>Extended reserves allowance</t>
  </si>
  <si>
    <t xml:space="preserve">In some cases, where the information for disclosure is able to be ascertained from disclosures elsewhere in the workbook, such information is disclosed in a calculated cell. </t>
  </si>
  <si>
    <t>IM clause 2.2.11(5)(h)</t>
  </si>
  <si>
    <t>ID clause 2.3.6(1)(b)</t>
  </si>
  <si>
    <t>from row 45</t>
  </si>
  <si>
    <t>Additional rows in schedules 5c, 6a, and 9e must not be inserted directly above the first row or below the last row of a table. This is to ensure that entries made in the new row are included in the totals.</t>
  </si>
  <si>
    <t>from S2 &amp; S5c</t>
  </si>
  <si>
    <t>This schedule calculates expenditure, revenue and service ratios from the information disclosed. The disclosed ratios may vary for reasons that are company specific and, as a result, must be interpreted with care. The Commerce Commission will publish a summary and analysis of information disclosed in accordance with the ID determination. This will include information disclosed in accordance with this and other schedules, and information disclosed under the other requirements of the determination.                                                                                                                                                      This information is part of audited disclosure information (as defined in section 1.4 of the ID determination), and so is subject to the assurance report required by section 2.8.</t>
  </si>
  <si>
    <t xml:space="preserve">This schedule requires information on the calculation of regulatory profit for the EDB for the disclosure year. All EDBs must complete all sections and  provide explanatory comment on their regulatory profit in Schedule 14 (Mandatory Explanatory Notes). 
This information is part of audited disclosure information (as defined in section 1.4 of the ID determination), and so is subject to the assurance report required by section 2.8.
</t>
  </si>
  <si>
    <t xml:space="preserve">This schedule requires a breakdown of operational expenditure incurred in the disclosure year. 
EDBs must provide explanatory comment on their operational expenditure in Schedule 14 (Explanatory notes to templates). This includes explanatory comment on any atypical operational expenditure and assets replaced or renewed as part of asset replacement and renewal operational expenditure, and additional information on insurance.
This information is part of audited disclosure information (as defined in section 1.4 of the ID determination), and so is subject to the assurance report required by section 2.8.
</t>
  </si>
  <si>
    <t>Purchased assets – avoided transmission charge</t>
  </si>
  <si>
    <t>Expenditure per GWh energy delivered to ICPs
($/GWh)</t>
  </si>
  <si>
    <t>Expenditure per average no. of ICPs
($/ICP)</t>
  </si>
  <si>
    <t>Expenditure per MW maximum coincident system demand
($/MW)</t>
  </si>
  <si>
    <t>Expenditure per km circuit length
($/km)</t>
  </si>
  <si>
    <t>Expenditure per MVA of capacity from EDB-owned distribution transformers
($/MVA)</t>
  </si>
  <si>
    <t>Revenue per GWh energy delivered to ICPs
($/GWh)</t>
  </si>
  <si>
    <t>Revenue per average no. of  ICPs
($/ICP)</t>
  </si>
  <si>
    <t xml:space="preserve">Excluding revenue earned from financial incentives </t>
  </si>
  <si>
    <t>Excluding revenue earned from financial incentives and wash-ups</t>
  </si>
  <si>
    <t>Input methodology claw-back</t>
  </si>
  <si>
    <t>Recoverable customised price-quality path costs</t>
  </si>
  <si>
    <t>Catastrophic event allowance</t>
  </si>
  <si>
    <t>Capex wash-up adjustment</t>
  </si>
  <si>
    <t>Reconsideration event allowance</t>
  </si>
  <si>
    <t>Wash-up costs</t>
  </si>
  <si>
    <t>PV(cashflow)</t>
  </si>
  <si>
    <t>XIRR</t>
  </si>
  <si>
    <t>XIRR search start</t>
  </si>
  <si>
    <t>NPV check</t>
  </si>
  <si>
    <t>Excluding financial incentives and wash-ups</t>
  </si>
  <si>
    <t xml:space="preserve">Excluding financial incentives </t>
  </si>
  <si>
    <t>Including financial incentives and wash-ups</t>
  </si>
  <si>
    <t>from row 59</t>
  </si>
  <si>
    <t>from row 53</t>
  </si>
  <si>
    <t>Pass-through and recoverable costs excluding financial incentives and wash-ups</t>
  </si>
  <si>
    <t>Expenditure or loss deductible but not in regulatory profit / (loss) before tax</t>
  </si>
  <si>
    <t>from S5c</t>
  </si>
  <si>
    <t>to S5a</t>
  </si>
  <si>
    <t>(To check the results of the XIRR function, the IRR formula returns "ERROR" if  the derived XIRR results in an NPV of $10 or more)</t>
  </si>
  <si>
    <t>Schedule name</t>
  </si>
  <si>
    <t>ANALYTICAL RATIOS</t>
  </si>
  <si>
    <t>REPORT ON RETURN ON INVESTMENT</t>
  </si>
  <si>
    <t>REPORT ON REGULATORY PROFIT</t>
  </si>
  <si>
    <t>REPORT ON VALUE OF THE REGULATORY ASSET BASE (ROLLED FORWARD)</t>
  </si>
  <si>
    <t>REPORT ON REGULATORY TAX ALLOWANCE</t>
  </si>
  <si>
    <t>5a</t>
  </si>
  <si>
    <t>REPORT ON RELATED PARTY TRANSACTIONS</t>
  </si>
  <si>
    <t>5b</t>
  </si>
  <si>
    <t>REPORT ON TERM CREDIT SPREAD DIFFERENTIAL ALLOWANCE</t>
  </si>
  <si>
    <t>5c</t>
  </si>
  <si>
    <t>REPORT ON COST ALLOCATIONS</t>
  </si>
  <si>
    <t>5d</t>
  </si>
  <si>
    <t>REPORT ON ASSET ALLOCATIONS</t>
  </si>
  <si>
    <t>5e</t>
  </si>
  <si>
    <t>REPORT ON CAPITAL EXPENDITURE FOR THE DISCLOSURE YEAR</t>
  </si>
  <si>
    <t>6a</t>
  </si>
  <si>
    <t>REPORT ON OPERATIONAL EXPENDITURE FOR THE DISCLOSURE YEAR</t>
  </si>
  <si>
    <t>6b</t>
  </si>
  <si>
    <t>COMPARISON OF FORECASTS TO ACTUAL EXPENDITURE</t>
  </si>
  <si>
    <t>REPORT ON BILLED QUANTITIES AND LINE CHARGE REVENUES</t>
  </si>
  <si>
    <t>ASSET REGISTER</t>
  </si>
  <si>
    <t>9a</t>
  </si>
  <si>
    <t>ASSET AGE PROFILE</t>
  </si>
  <si>
    <t>9b</t>
  </si>
  <si>
    <t>REPORT ON OVERHEAD LINES AND UNDERGROUND CABLES</t>
  </si>
  <si>
    <t>9c</t>
  </si>
  <si>
    <t>REPORT ON EMBEDDED NETWORKS</t>
  </si>
  <si>
    <t>9d</t>
  </si>
  <si>
    <t>REPORT ON NETWORK DEMAND</t>
  </si>
  <si>
    <t>9e</t>
  </si>
  <si>
    <t>REPORT ON NETWORK RELIABILITY</t>
  </si>
  <si>
    <t>1</t>
  </si>
  <si>
    <t>3</t>
  </si>
  <si>
    <t>4</t>
  </si>
  <si>
    <t>7</t>
  </si>
  <si>
    <t>8</t>
  </si>
  <si>
    <t>10</t>
  </si>
  <si>
    <t>Schedule</t>
  </si>
  <si>
    <t>from s3</t>
  </si>
  <si>
    <t>from S3, row 33 &amp; row 50</t>
  </si>
  <si>
    <t>from row 34</t>
  </si>
  <si>
    <t>from row 41</t>
  </si>
  <si>
    <t>from row 51</t>
  </si>
  <si>
    <t>from row 20 and row 21</t>
  </si>
  <si>
    <t>from row 21 and row 22</t>
  </si>
  <si>
    <t>from S5a &amp; to S1 and S2</t>
  </si>
  <si>
    <t>from row 43 &amp; to S2</t>
  </si>
  <si>
    <t>from row 45 &amp; to S2</t>
  </si>
  <si>
    <t>from row 29 (and row 10)</t>
  </si>
  <si>
    <t>to S3 and S5a</t>
  </si>
  <si>
    <t>from row 128 &amp; to S7 and S1</t>
  </si>
  <si>
    <t>to row 9 and row 10</t>
  </si>
  <si>
    <t>to s1 and S3</t>
  </si>
  <si>
    <t>to S1 and S9e</t>
  </si>
  <si>
    <t>to S1, S3 and S7</t>
  </si>
  <si>
    <t>2  From the CY+1 nominal dollar expenditure forecasts disclosed in accordance with clause 2.6.6 for the forecast period starting at the beginning of the disclosure year (the second to last disclosure of Schedules 11a and 11b)</t>
  </si>
  <si>
    <t>2</t>
  </si>
  <si>
    <t>Recoverable costs excluding financial incentives and wash-ups</t>
  </si>
  <si>
    <t>K10 &amp; L10 —  from last year's ID disclosure</t>
  </si>
  <si>
    <t>K11 &amp; L11 —  from last year's ID disclosure</t>
  </si>
  <si>
    <t>K12 &amp; L12 —  from last year's ID disclosure</t>
  </si>
  <si>
    <t>K14 to M14 — from applicable EDB ID cost of capital determination (ComCom website)</t>
  </si>
  <si>
    <t>K15 to M15 — from applicable EDB ID cost of capital determination (ComCom website)</t>
  </si>
  <si>
    <t>K16 to M16 — from applicable EDB ID cost of capital determination ( ComCom website)</t>
  </si>
  <si>
    <t>K20 &amp; L20 —  from last year's ID disclosure</t>
  </si>
  <si>
    <t>K21 &amp; L21 —  from last year's ID disclosure</t>
  </si>
  <si>
    <t>K22 &amp; L22 —  from last year's ID disclosure</t>
  </si>
  <si>
    <t>K26 to M26 — from applicable EDB ID cost of capital determination (ComCom website)</t>
  </si>
  <si>
    <t>K27 to M27 — from applicable EDB ID cost of capital determination (ComCom website)</t>
  </si>
  <si>
    <t>K28 to M28 — from applicable EDB ID cost of capital determination ( ComCom website)</t>
  </si>
  <si>
    <t>from rows 21, 55, 56, 57</t>
  </si>
  <si>
    <t>from rows 22, 55, 56, 57</t>
  </si>
  <si>
    <t>to row 63</t>
  </si>
  <si>
    <t>from row 88 less product of rows 55, 56 &amp; 57</t>
  </si>
  <si>
    <t>from row 94 less product of rows 55, 56 &amp; 57</t>
  </si>
  <si>
    <t>from row 48 mid yr IRR calcs</t>
  </si>
  <si>
    <t>from row 48 mid yr IRR calcs; to row 20</t>
  </si>
  <si>
    <t>from row 87 monthly IRR calc</t>
  </si>
  <si>
    <t>Source</t>
  </si>
  <si>
    <t>Cell L36</t>
  </si>
  <si>
    <t>Agrees with cell G79 value</t>
  </si>
  <si>
    <t>Cell K38</t>
  </si>
  <si>
    <t>Agrees with cell I79 value</t>
  </si>
  <si>
    <t>Agrees with cell J79 value</t>
  </si>
  <si>
    <t>Cell K39</t>
  </si>
  <si>
    <t>Cell K40</t>
  </si>
  <si>
    <t>Agrees with cell K79 value</t>
  </si>
  <si>
    <t>Agrees with cell L79 value</t>
  </si>
  <si>
    <t>Test for cell G79 conditional formatting (line charge revenue)</t>
  </si>
  <si>
    <t>Test for cell I79 conditional formatting (expenses cash outflow)</t>
  </si>
  <si>
    <t>Test for cell J79 conditional formatting (assets commissioned)</t>
  </si>
  <si>
    <t>Test for cell L79 conditional formatting (other regulated income)</t>
  </si>
  <si>
    <t>Test for cell K79 conditional formatting (asset  disposals)</t>
  </si>
  <si>
    <t>Asset 
disposals</t>
  </si>
  <si>
    <t>Transmission asset wash-up adjustment</t>
  </si>
  <si>
    <t>2013–2015 NPV wash-up allowance</t>
  </si>
  <si>
    <t>Cell K42</t>
  </si>
  <si>
    <t>Agrees with cell G30 value</t>
  </si>
  <si>
    <t>unlocked row</t>
  </si>
  <si>
    <t>2(v): Financial Incentives and Wash-Ups</t>
  </si>
  <si>
    <t>3(ii): Pass-through and Recoverable Costs excluding Financial Incentives and Wash-Ups</t>
  </si>
  <si>
    <t>Income included in regulatory profit / (loss) before tax but not taxable</t>
  </si>
  <si>
    <t>OVABAA allocation increase ($000s)</t>
  </si>
  <si>
    <t>Opening sum of RAB values without revaluations</t>
  </si>
  <si>
    <t>from row 50</t>
  </si>
  <si>
    <t>5e(i): Regulated Service Asset Values</t>
  </si>
  <si>
    <t>Disclosure Template Instructions</t>
  </si>
  <si>
    <t xml:space="preserve">These templates have been prepared for use by EDBs when making disclosures under clauses 2.3.1, 2.4.21, 2.4.22, 2.5.1, and 2.5.2 of the Electricity Distribution Information Disclosure Determination 2012. </t>
  </si>
  <si>
    <t>1. Coversheet
2. Schedules 5a–5e
3. Schedules 6a–6b
4. Schedule 8
5. Schedule 3
6. Schedule 4
7. Schedule 2
8. Schedule 7
9. Schedules 9a–9e
10. Schedule 10</t>
  </si>
  <si>
    <t>from row 46 &amp; to S1 and S2</t>
  </si>
  <si>
    <t>to S1 and S2</t>
  </si>
  <si>
    <t>Regulatory profit/(loss) including financial incentives and wash-ups</t>
  </si>
  <si>
    <t xml:space="preserve">WACC rate used to set regulatory price path </t>
  </si>
  <si>
    <t>from rows 28 &amp; 48</t>
  </si>
  <si>
    <t>from rows 28 &amp; 37</t>
  </si>
  <si>
    <t>from rows 28 &amp; 88 and S4</t>
  </si>
  <si>
    <t>from rows 28 &amp; 86 and S4</t>
  </si>
  <si>
    <t>from S3 and rows 107, 119, 34 &amp; 39</t>
  </si>
  <si>
    <t>Other recoverable costs excluding financial incentives and wash-ups</t>
  </si>
  <si>
    <t>Reflecting all revenue earned</t>
  </si>
  <si>
    <t>Other financial incentives</t>
  </si>
  <si>
    <t>Other wash-ups</t>
  </si>
  <si>
    <t>Templates for Schedules 1–10 excluding 5f–5g</t>
  </si>
  <si>
    <t xml:space="preserve">Regulatory profit / (loss) before tax </t>
  </si>
  <si>
    <t>from rows 28 &amp; 84</t>
  </si>
  <si>
    <t>Impact of financial incentives on ROI</t>
  </si>
  <si>
    <t>Impact of wash-up costs on ROI</t>
  </si>
  <si>
    <t>Template Version 4.1. Prepared 24 March 2015</t>
  </si>
  <si>
    <t>The references labelled 'sch ref' in the leftmost column of each template are consistent with the row references in the Electricity Distribution ID Determination 2012 (as issued on 24 March 2015). They provide a common reference between the rows in the determination and the template.</t>
  </si>
  <si>
    <t>Schedules 5d and 5e may require new cost or asset category rows to be inserted in allocation change tables 5d(iii) and 5e(ii).  Accordingly, cell protection has been removed from rows 77 and 78 of the respective templates to allow blocks of rows to be copied. The four steps to add new cost category rows to table 5d(iii) are: Select Excel rows 69:77, copy, select Excel row 78, insert copied cells. Similarly, for table 5e(ii): Select Excel rows 70:78, copy, select Excel row 79, then insert copied cells.</t>
  </si>
  <si>
    <t xml:space="preserve">The templates for schedules 4, 5b, 5c, 5d, 5e, 6a, 8, 9d, and 9e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</si>
  <si>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Schedule 2 cells G79 and I79:L79 will change colour if the total cashflows do not equal the corresponding values in table 2(ii).
Schedule 4 cells P99:P105 and P107 will change colour if the RAB values do not equal the corresponding values in table 4(ii).
Schedule 9b columns AA to AE (2013 to 2017) contain conditional formatting. The data entry cells for future years are hidden (are changed from white to yellow).
Schedule 9b cells AG10 to AG60 will change colour if the total assets at year end for each asset class does not equal the corresponding values in column I in Schedule 9a.
Schedule 9c cell G30 will change colour if G30 (overhead circuit length by terrain) does not equal G18 (overhead circuit length by operating voltage).</t>
  </si>
  <si>
    <t>Alpine Energy Limited</t>
  </si>
  <si>
    <t>See page 3 of the 2017 ID Determination</t>
  </si>
  <si>
    <t>See page 3 &amp; 6 of the 2017 ID Determination</t>
  </si>
  <si>
    <t>NA</t>
  </si>
  <si>
    <t>None</t>
  </si>
  <si>
    <t>Not Applicable</t>
  </si>
  <si>
    <t>Not Aplicable</t>
  </si>
  <si>
    <t>Residential</t>
  </si>
  <si>
    <t>Commercial</t>
  </si>
  <si>
    <t>Irrigation</t>
  </si>
  <si>
    <t>Subdivision</t>
  </si>
  <si>
    <t>LV alterations</t>
  </si>
  <si>
    <t>HV alterations</t>
  </si>
  <si>
    <t>Morgans Road Project</t>
  </si>
  <si>
    <t>Balmoral Road 11kV cable</t>
  </si>
  <si>
    <t>Replace Douglas St transformer</t>
  </si>
  <si>
    <t>11 kV Switching Station Morgans Rd</t>
  </si>
  <si>
    <t>Other relocations</t>
  </si>
  <si>
    <t>Clayton Road SW Replacement</t>
  </si>
  <si>
    <t>Guinness New RMU</t>
  </si>
  <si>
    <t>Miscellaenous Switchgear</t>
  </si>
  <si>
    <t>Reclosers</t>
  </si>
  <si>
    <t>Automation</t>
  </si>
  <si>
    <t>Abloy Locks</t>
  </si>
  <si>
    <t>Communications</t>
  </si>
  <si>
    <t>Plant and Equipment</t>
  </si>
  <si>
    <t>Software and IT</t>
  </si>
  <si>
    <t>Vehicles</t>
  </si>
  <si>
    <t>Office Building</t>
  </si>
  <si>
    <t>TechOne Upgrade</t>
  </si>
  <si>
    <t>N/A</t>
  </si>
  <si>
    <t>LOWHCA</t>
  </si>
  <si>
    <t>Low Charge</t>
  </si>
  <si>
    <t>Standard</t>
  </si>
  <si>
    <t>LOWLCA</t>
  </si>
  <si>
    <t>LOWUHCA</t>
  </si>
  <si>
    <t>Low Uncontrolled</t>
  </si>
  <si>
    <t>LOWULCA</t>
  </si>
  <si>
    <t>015HCA</t>
  </si>
  <si>
    <t>015</t>
  </si>
  <si>
    <t>015LCA</t>
  </si>
  <si>
    <t>015UHCA</t>
  </si>
  <si>
    <t>015 Uncontrolled</t>
  </si>
  <si>
    <t>015ULCA</t>
  </si>
  <si>
    <t>360HCA</t>
  </si>
  <si>
    <t>360</t>
  </si>
  <si>
    <t>360LCA</t>
  </si>
  <si>
    <t>360UHCA</t>
  </si>
  <si>
    <t>360 Uncontrolled</t>
  </si>
  <si>
    <t>360ULCA</t>
  </si>
  <si>
    <t>ASSHCA</t>
  </si>
  <si>
    <t>Assessed</t>
  </si>
  <si>
    <t>ASSLCA</t>
  </si>
  <si>
    <t>TOU400HCA</t>
  </si>
  <si>
    <t>TOU 400V</t>
  </si>
  <si>
    <t>TOU400LCA</t>
  </si>
  <si>
    <t>TOU11HCA</t>
  </si>
  <si>
    <t>TOU 11kV</t>
  </si>
  <si>
    <t>TOU11LCA</t>
  </si>
  <si>
    <t>Individual Direct Billed</t>
  </si>
  <si>
    <t>IND</t>
  </si>
  <si>
    <t>Non-standard</t>
  </si>
  <si>
    <t>Distribution Fixed</t>
  </si>
  <si>
    <t>Distribution Variable Day</t>
  </si>
  <si>
    <t>Distribution Variable Night</t>
  </si>
  <si>
    <t>Distribution Demand</t>
  </si>
  <si>
    <t>Transmission Fixed</t>
  </si>
  <si>
    <t>Transmission Variable Day</t>
  </si>
  <si>
    <t>Transmossion Variable Night</t>
  </si>
  <si>
    <t>Transmission Demand</t>
  </si>
  <si>
    <t>Number of ICP's</t>
  </si>
  <si>
    <t>MWH</t>
  </si>
  <si>
    <t>MW</t>
  </si>
  <si>
    <t>Distribution fixed</t>
  </si>
  <si>
    <t>Distribution variable day</t>
  </si>
  <si>
    <t>Distribution variable night</t>
  </si>
  <si>
    <t xml:space="preserve">Distribution demand </t>
  </si>
  <si>
    <t>Transmission Variable day</t>
  </si>
  <si>
    <t>Transmission Variable night</t>
  </si>
  <si>
    <t>Transmission demand</t>
  </si>
  <si>
    <t>$/annum</t>
  </si>
  <si>
    <t>$/MWh</t>
  </si>
  <si>
    <t>$/(MWh*annum)</t>
  </si>
  <si>
    <t xml:space="preserve">                 -</t>
  </si>
  <si>
    <t>Netcon Ltd</t>
  </si>
  <si>
    <t>Infratec</t>
  </si>
  <si>
    <t>Wholly owned subsidiary and contractor</t>
  </si>
  <si>
    <t>Opex</t>
  </si>
  <si>
    <t>Maintenance of Assets</t>
  </si>
  <si>
    <t>Capex</t>
  </si>
  <si>
    <t>Infratec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</si>
</sst>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2" formatCode="_-&quot;$&quot;* #,##0_-;\-&quot;$&quot;* #,##0_-;_-&quot;$&quot;* &quot;-&quot;_-;_-@_-"/>
    <numFmt numFmtId="44" formatCode="_-&quot;$&quot;* #,##0.00_-;\-&quot;$&quot;* #,##0.00_-;_-&quot;$&quot;* &quot;-&quot;??_-;_-@_-"/>
    <numFmt numFmtId="43" formatCode="_-* #,##0.00_-;\-* #,##0.00_-;_-* &quot;-&quot;??_-;_-@_-"/>
    <numFmt numFmtId="164" formatCode="_(* @_)"/>
    <numFmt numFmtId="165" formatCode="_(\ #,##0_);_ \(#,##0\);_(\ &quot;–&quot;??_);_(\ @_)"/>
    <numFmt numFmtId="166" formatCode="_(\ #,##0.00_);\ \(#,##0.00\);_(\ &quot;–&quot;??_);_(\ @_)"/>
    <numFmt numFmtId="167" formatCode="_(\ &quot;$&quot;#,##0_);\ \(&quot;$&quot;#,##0\);_(\ &quot;–&quot;??_);_(\ @_)"/>
    <numFmt numFmtId="168" formatCode="_(\ #,##0%_);\(#,##0%\);_(\ &quot;–&quot;??_);_(\ @_)"/>
    <numFmt numFmtId="169" formatCode="_(\ #,##0.0_);\ \(#,##0.0\);_(\ &quot;–&quot;??_);_(\ @_)"/>
    <numFmt numFmtId="170" formatCode="_(\ #,##0.0%_);\(#,##0.0%\);_(\ &quot;–&quot;??_);_(\ @_)"/>
    <numFmt numFmtId="171" formatCode="[$-1409]d\ mmm\ yy"/>
    <numFmt numFmtId="172" formatCode="[$-1409]d\ mmmm\ yyyy"/>
    <numFmt numFmtId="173" formatCode="[$-1409]d/m/yyyy"/>
    <numFmt numFmtId="174" formatCode="_(\ #,##0.00%_);\ _(\–#,##0.00%_);_(\ &quot;–&quot;??_);_(\ @_)"/>
    <numFmt numFmtId="175" formatCode="_(\ #,##0%_);_(\-#,##0%\);_(\ &quot;–&quot;??_);_(\ @_)"/>
    <numFmt numFmtId="176" formatCode="_(\ \+#,##0.00%_);\ _(\–#,##0.00%_);_(\ &quot;–&quot;??_);_(\ @_)"/>
    <numFmt numFmtId="177" formatCode="_(\ #,##0.00000_);_ \(#,##0.00000\);_(\ &quot;–&quot;??_);_(\ @_)"/>
    <numFmt numFmtId="178" formatCode="d\ mmmm\ yyyy"/>
  </numFmts>
  <fonts count="81" x14ac:knownFonts="1">
    <font>
      <sz val="10"/>
      <color theme="1"/>
      <name val="Calibri"/>
      <family val="4"/>
      <scheme val="minor"/>
    </font>
    <font>
      <sz val="11"/>
      <color theme="1"/>
      <name val="Calibri"/>
      <family val="2"/>
      <scheme val="minor"/>
    </font>
    <font>
      <sz val="8"/>
      <name val="Arial"/>
      <family val="2"/>
    </font>
    <font>
      <sz val="10"/>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sz val="10"/>
      <name val="Calibri"/>
      <family val="2"/>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0"/>
      <name val="Calibri"/>
      <family val="2"/>
    </font>
    <font>
      <sz val="14"/>
      <color indexed="8"/>
      <name val="Calibri"/>
      <family val="1"/>
    </font>
    <font>
      <i/>
      <sz val="10"/>
      <color indexed="8"/>
      <name val="Calibri"/>
      <family val="2"/>
    </font>
    <font>
      <b/>
      <sz val="12"/>
      <color indexed="8"/>
      <name val="Calibri"/>
      <family val="2"/>
    </font>
    <font>
      <b/>
      <sz val="10"/>
      <color indexed="8"/>
      <name val="Calibri"/>
      <family val="2"/>
    </font>
    <font>
      <b/>
      <sz val="18"/>
      <color indexed="8"/>
      <name val="Calibri"/>
      <family val="1"/>
    </font>
    <font>
      <b/>
      <sz val="16"/>
      <color indexed="8"/>
      <name val="Calibri"/>
      <family val="1"/>
    </font>
    <font>
      <sz val="10"/>
      <color indexed="30"/>
      <name val="Calibri"/>
      <family val="2"/>
    </font>
    <font>
      <b/>
      <sz val="16"/>
      <color indexed="9"/>
      <name val="Calibri"/>
      <family val="4"/>
    </font>
    <font>
      <b/>
      <sz val="13"/>
      <color indexed="8"/>
      <name val="Calibri"/>
      <family val="2"/>
    </font>
    <font>
      <sz val="14"/>
      <name val="Calibri"/>
      <family val="2"/>
    </font>
    <font>
      <b/>
      <sz val="10"/>
      <name val="Calibri"/>
      <family val="2"/>
    </font>
    <font>
      <sz val="10"/>
      <color indexed="8"/>
      <name val="Arial"/>
      <family val="1"/>
    </font>
    <font>
      <sz val="12"/>
      <name val="Calibri"/>
      <family val="2"/>
    </font>
    <font>
      <b/>
      <sz val="14"/>
      <name val="Calibri"/>
      <family val="2"/>
    </font>
    <font>
      <vertAlign val="subscript"/>
      <sz val="10"/>
      <name val="Calibri"/>
      <family val="2"/>
    </font>
    <font>
      <vertAlign val="superscript"/>
      <sz val="10"/>
      <name val="Calibri"/>
      <family val="2"/>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b/>
      <sz val="10"/>
      <color theme="1"/>
      <name val="Calibri"/>
      <family val="2"/>
      <scheme val="minor"/>
    </font>
    <font>
      <sz val="12"/>
      <name val="Calibri"/>
      <family val="2"/>
      <scheme val="minor"/>
    </font>
    <font>
      <sz val="12"/>
      <color theme="1"/>
      <name val="Calibri"/>
      <family val="2"/>
      <scheme val="minor"/>
    </font>
    <font>
      <i/>
      <sz val="12"/>
      <name val="Calibri"/>
      <family val="2"/>
      <scheme val="minor"/>
    </font>
    <font>
      <b/>
      <sz val="16"/>
      <name val="Calibri"/>
      <family val="2"/>
      <scheme val="minor"/>
    </font>
    <font>
      <b/>
      <i/>
      <sz val="12"/>
      <color theme="1"/>
      <name val="Calibri"/>
      <family val="2"/>
      <scheme val="major"/>
    </font>
    <font>
      <b/>
      <sz val="10"/>
      <color rgb="FFFF0000"/>
      <name val="Calibri"/>
      <family val="2"/>
      <scheme val="minor"/>
    </font>
    <font>
      <sz val="10"/>
      <color theme="1"/>
      <name val="Calibri"/>
      <family val="2"/>
      <scheme val="minor"/>
    </font>
    <font>
      <b/>
      <sz val="11"/>
      <color theme="1"/>
      <name val="Calibri"/>
      <family val="2"/>
      <scheme val="minor"/>
    </font>
    <font>
      <b/>
      <sz val="14"/>
      <color rgb="FFFF0000"/>
      <name val="Calibri"/>
      <family val="2"/>
    </font>
    <font>
      <sz val="10"/>
      <color theme="0" tint="-0.499984740745262"/>
      <name val="Calibri"/>
      <family val="2"/>
      <scheme val="minor"/>
    </font>
    <font>
      <b/>
      <sz val="10"/>
      <color theme="0" tint="-0.499984740745262"/>
      <name val="Calibri"/>
      <family val="2"/>
      <scheme val="minor"/>
    </font>
    <font>
      <b/>
      <sz val="12"/>
      <color theme="0" tint="-0.499984740745262"/>
      <name val="Calibri"/>
      <family val="2"/>
      <scheme val="minor"/>
    </font>
    <font>
      <b/>
      <u/>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Calibri"/>
      <family val="4"/>
      <scheme val="minor"/>
    </font>
    <font>
      <sz val="10"/>
      <color theme="4"/>
      <name val="Calibri"/>
      <family val="4"/>
      <scheme val="minor"/>
    </font>
    <font>
      <b/>
      <sz val="10"/>
      <color rgb="FF0070C0"/>
      <name val="Calibri"/>
      <family val="2"/>
      <scheme val="minor"/>
    </font>
  </fonts>
  <fills count="4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83">
    <xf numFmtId="0" fontId="0" fillId="0" borderId="0"/>
    <xf numFmtId="165" fontId="9" fillId="0" borderId="0" applyFont="0" applyFill="0" applyBorder="0" applyAlignment="0" applyProtection="0">
      <alignment horizontal="left"/>
      <protection locked="0"/>
    </xf>
    <xf numFmtId="0" fontId="34" fillId="3" borderId="0" applyFill="0" applyBorder="0"/>
    <xf numFmtId="0" fontId="34" fillId="3" borderId="0" applyFill="0" applyBorder="0">
      <alignment wrapText="1"/>
    </xf>
    <xf numFmtId="0" fontId="35" fillId="4" borderId="1" applyFill="0">
      <alignment horizontal="center"/>
    </xf>
    <xf numFmtId="0" fontId="37" fillId="0" borderId="1" applyNumberFormat="0">
      <protection locked="0"/>
    </xf>
    <xf numFmtId="0" fontId="38" fillId="3" borderId="0"/>
    <xf numFmtId="172" fontId="28" fillId="0" borderId="0" applyFont="0" applyFill="0" applyBorder="0" applyAlignment="0" applyProtection="0">
      <protection locked="0"/>
    </xf>
    <xf numFmtId="0" fontId="39" fillId="3" borderId="0" applyNumberFormat="0" applyFill="0" applyBorder="0">
      <alignment horizontal="left"/>
    </xf>
    <xf numFmtId="0" fontId="40" fillId="4" borderId="0" applyNumberFormat="0" applyFill="0" applyBorder="0" applyAlignment="0" applyProtection="0"/>
    <xf numFmtId="0" fontId="41" fillId="4" borderId="0" applyNumberFormat="0" applyFill="0" applyBorder="0">
      <alignment horizontal="right"/>
    </xf>
    <xf numFmtId="0" fontId="13" fillId="4" borderId="0" applyFont="0" applyAlignment="0"/>
    <xf numFmtId="0" fontId="42" fillId="4" borderId="0" applyFill="0" applyBorder="0">
      <alignment vertical="top" wrapText="1"/>
    </xf>
    <xf numFmtId="0" fontId="34" fillId="4" borderId="0" applyFill="0" applyAlignment="0">
      <alignment horizontal="center"/>
    </xf>
    <xf numFmtId="0" fontId="43" fillId="0" borderId="0" applyNumberFormat="0" applyFill="0" applyAlignment="0"/>
    <xf numFmtId="0" fontId="44" fillId="3" borderId="0" applyFill="0" applyBorder="0"/>
    <xf numFmtId="0" fontId="45" fillId="3" borderId="0" applyFill="0" applyBorder="0"/>
    <xf numFmtId="0" fontId="46" fillId="3" borderId="0" applyFill="0" applyBorder="0">
      <alignment horizontal="left"/>
    </xf>
    <xf numFmtId="0" fontId="46" fillId="3" borderId="0" applyFill="0" applyBorder="0">
      <alignment horizontal="center" wrapText="1"/>
    </xf>
    <xf numFmtId="0" fontId="46" fillId="3" borderId="0" applyFill="0" applyBorder="0">
      <alignment horizontal="center" wrapText="1"/>
    </xf>
    <xf numFmtId="0" fontId="47" fillId="0" borderId="0" applyNumberFormat="0" applyFill="0" applyBorder="0" applyAlignment="0" applyProtection="0">
      <alignment vertical="top"/>
      <protection locked="0"/>
    </xf>
    <xf numFmtId="49" fontId="48" fillId="0" borderId="0" applyFill="0" applyBorder="0">
      <alignment horizontal="center" wrapText="1"/>
    </xf>
    <xf numFmtId="49" fontId="33" fillId="0" borderId="0" applyFill="0" applyBorder="0">
      <alignment horizontal="left" indent="1"/>
    </xf>
    <xf numFmtId="175" fontId="5" fillId="3" borderId="0" applyFont="0" applyFill="0" applyBorder="0" applyAlignment="0" applyProtection="0">
      <alignment vertical="center"/>
    </xf>
    <xf numFmtId="174" fontId="28" fillId="0" borderId="0" applyFont="0" applyFill="0" applyBorder="0" applyAlignment="0" applyProtection="0">
      <protection locked="0"/>
    </xf>
    <xf numFmtId="0" fontId="34" fillId="3" borderId="0" applyNumberFormat="0" applyFill="0" applyBorder="0" applyProtection="0">
      <alignment horizontal="right"/>
    </xf>
    <xf numFmtId="0" fontId="34" fillId="3" borderId="4" applyFill="0">
      <alignment horizontal="right"/>
    </xf>
    <xf numFmtId="171" fontId="5" fillId="0" borderId="0" applyFont="0" applyFill="0" applyBorder="0" applyAlignment="0" applyProtection="0"/>
    <xf numFmtId="0" fontId="38" fillId="3" borderId="0" applyFill="0" applyBorder="0">
      <alignment horizontal="left"/>
    </xf>
    <xf numFmtId="164" fontId="28" fillId="0" borderId="0" applyFont="0" applyFill="0" applyBorder="0">
      <alignment horizontal="left"/>
      <protection locked="0"/>
    </xf>
    <xf numFmtId="44" fontId="33" fillId="0" borderId="0" applyFont="0" applyFill="0" applyBorder="0" applyAlignment="0" applyProtection="0"/>
    <xf numFmtId="42" fontId="33" fillId="0" borderId="0" applyFont="0" applyFill="0" applyBorder="0" applyAlignment="0" applyProtection="0"/>
    <xf numFmtId="0" fontId="63" fillId="0" borderId="0" applyNumberFormat="0" applyFill="0" applyBorder="0" applyAlignment="0" applyProtection="0"/>
    <xf numFmtId="0" fontId="64" fillId="0" borderId="22" applyNumberFormat="0" applyFill="0" applyAlignment="0" applyProtection="0"/>
    <xf numFmtId="0" fontId="65" fillId="0" borderId="23" applyNumberFormat="0" applyFill="0" applyAlignment="0" applyProtection="0"/>
    <xf numFmtId="0" fontId="66" fillId="0" borderId="24" applyNumberFormat="0" applyFill="0" applyAlignment="0" applyProtection="0"/>
    <xf numFmtId="0" fontId="66" fillId="0" borderId="0" applyNumberFormat="0" applyFill="0" applyBorder="0" applyAlignment="0" applyProtection="0"/>
    <xf numFmtId="0" fontId="67" fillId="8" borderId="0" applyNumberFormat="0" applyBorder="0" applyAlignment="0" applyProtection="0"/>
    <xf numFmtId="0" fontId="68" fillId="9" borderId="0" applyNumberFormat="0" applyBorder="0" applyAlignment="0" applyProtection="0"/>
    <xf numFmtId="0" fontId="69" fillId="10" borderId="0" applyNumberFormat="0" applyBorder="0" applyAlignment="0" applyProtection="0"/>
    <xf numFmtId="0" fontId="70" fillId="11" borderId="25" applyNumberFormat="0" applyAlignment="0" applyProtection="0"/>
    <xf numFmtId="0" fontId="71" fillId="12" borderId="26" applyNumberFormat="0" applyAlignment="0" applyProtection="0"/>
    <xf numFmtId="0" fontId="72" fillId="12" borderId="25" applyNumberFormat="0" applyAlignment="0" applyProtection="0"/>
    <xf numFmtId="0" fontId="73" fillId="0" borderId="27" applyNumberFormat="0" applyFill="0" applyAlignment="0" applyProtection="0"/>
    <xf numFmtId="0" fontId="74" fillId="13" borderId="28" applyNumberFormat="0" applyAlignment="0" applyProtection="0"/>
    <xf numFmtId="0" fontId="75" fillId="0" borderId="0" applyNumberFormat="0" applyFill="0" applyBorder="0" applyAlignment="0" applyProtection="0"/>
    <xf numFmtId="0" fontId="33" fillId="14" borderId="29" applyNumberFormat="0" applyFont="0" applyAlignment="0" applyProtection="0"/>
    <xf numFmtId="0" fontId="76" fillId="0" borderId="0" applyNumberFormat="0" applyFill="0" applyBorder="0" applyAlignment="0" applyProtection="0"/>
    <xf numFmtId="0" fontId="57" fillId="0" borderId="30" applyNumberFormat="0" applyFill="0" applyAlignment="0" applyProtection="0"/>
    <xf numFmtId="0" fontId="7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77" fillId="18" borderId="0" applyNumberFormat="0" applyBorder="0" applyAlignment="0" applyProtection="0"/>
    <xf numFmtId="0" fontId="7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7" fillId="22" borderId="0" applyNumberFormat="0" applyBorder="0" applyAlignment="0" applyProtection="0"/>
    <xf numFmtId="0" fontId="7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7" fillId="26" borderId="0" applyNumberFormat="0" applyBorder="0" applyAlignment="0" applyProtection="0"/>
    <xf numFmtId="0" fontId="7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7" fillId="30" borderId="0" applyNumberFormat="0" applyBorder="0" applyAlignment="0" applyProtection="0"/>
    <xf numFmtId="0" fontId="7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7" fillId="34" borderId="0" applyNumberFormat="0" applyBorder="0" applyAlignment="0" applyProtection="0"/>
    <xf numFmtId="0" fontId="7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7" fillId="38" borderId="0" applyNumberFormat="0" applyBorder="0" applyAlignment="0" applyProtection="0"/>
    <xf numFmtId="166" fontId="7" fillId="4" borderId="0" applyFont="0" applyFill="0" applyBorder="0" applyAlignment="0" applyProtection="0"/>
    <xf numFmtId="169" fontId="38" fillId="3" borderId="0" applyFont="0" applyFill="0" applyBorder="0" applyAlignment="0" applyProtection="0"/>
    <xf numFmtId="167" fontId="9" fillId="0" borderId="0" applyFont="0" applyFill="0" applyBorder="0" applyAlignment="0" applyProtection="0">
      <alignment horizontal="left"/>
      <protection locked="0"/>
    </xf>
    <xf numFmtId="173" fontId="38" fillId="0" borderId="0" applyFont="0" applyFill="0" applyBorder="0" applyAlignment="0" applyProtection="0">
      <protection locked="0"/>
    </xf>
    <xf numFmtId="43" fontId="33" fillId="0" borderId="0" applyFont="0" applyFill="0" applyBorder="0" applyAlignment="0" applyProtection="0"/>
    <xf numFmtId="9" fontId="33" fillId="0" borderId="0" applyFont="0" applyFill="0" applyBorder="0" applyAlignment="0" applyProtection="0"/>
    <xf numFmtId="0" fontId="38" fillId="3" borderId="1" applyNumberFormat="0"/>
    <xf numFmtId="0" fontId="38" fillId="3" borderId="3" applyNumberFormat="0"/>
    <xf numFmtId="0" fontId="78" fillId="0" borderId="0" applyNumberFormat="0" applyFill="0" applyBorder="0" applyAlignment="0" applyProtection="0"/>
    <xf numFmtId="0" fontId="38" fillId="3" borderId="1" applyNumberFormat="0"/>
  </cellStyleXfs>
  <cellXfs count="695">
    <xf numFmtId="0" fontId="0" fillId="0" borderId="0" xfId="0"/>
    <xf numFmtId="165" fontId="10" fillId="3" borderId="1" xfId="1" applyFont="1" applyFill="1" applyBorder="1" applyAlignment="1" applyProtection="1"/>
    <xf numFmtId="165" fontId="38" fillId="3" borderId="1" xfId="1" applyFont="1" applyFill="1" applyBorder="1" applyAlignment="1" applyProtection="1"/>
    <xf numFmtId="165" fontId="37" fillId="0" borderId="1" xfId="1" applyFont="1" applyBorder="1" applyAlignment="1">
      <protection locked="0"/>
    </xf>
    <xf numFmtId="165" fontId="38" fillId="3" borderId="3" xfId="1" applyFont="1" applyFill="1" applyBorder="1" applyAlignment="1" applyProtection="1"/>
    <xf numFmtId="165" fontId="5" fillId="3" borderId="1" xfId="1" applyFont="1" applyFill="1" applyBorder="1" applyAlignment="1" applyProtection="1">
      <alignment horizontal="right"/>
    </xf>
    <xf numFmtId="0" fontId="0" fillId="0" borderId="0" xfId="0" applyFill="1"/>
    <xf numFmtId="0" fontId="4" fillId="0" borderId="0" xfId="0" applyFont="1"/>
    <xf numFmtId="0" fontId="4" fillId="0" borderId="0" xfId="0" applyFont="1" applyAlignment="1"/>
    <xf numFmtId="0" fontId="0" fillId="0" borderId="0" xfId="0"/>
    <xf numFmtId="0" fontId="0" fillId="0" borderId="0" xfId="0" applyAlignment="1"/>
    <xf numFmtId="0" fontId="0" fillId="0" borderId="0" xfId="0"/>
    <xf numFmtId="0" fontId="0" fillId="0" borderId="0" xfId="0" applyBorder="1"/>
    <xf numFmtId="0" fontId="20" fillId="0" borderId="0" xfId="0" applyFont="1"/>
    <xf numFmtId="0" fontId="0" fillId="0" borderId="2" xfId="0" applyBorder="1"/>
    <xf numFmtId="0" fontId="0" fillId="0" borderId="4" xfId="0"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0" xfId="0"/>
    <xf numFmtId="0" fontId="3" fillId="0" borderId="0" xfId="0" applyFont="1"/>
    <xf numFmtId="0" fontId="0" fillId="0" borderId="0" xfId="0"/>
    <xf numFmtId="0" fontId="0" fillId="0" borderId="0" xfId="0" applyAlignment="1"/>
    <xf numFmtId="0" fontId="5" fillId="0" borderId="0" xfId="0" applyFont="1" applyAlignment="1"/>
    <xf numFmtId="0" fontId="5" fillId="0" borderId="0" xfId="0" applyFont="1" applyAlignment="1">
      <alignment vertical="center"/>
    </xf>
    <xf numFmtId="0" fontId="5" fillId="0" borderId="0" xfId="0" applyFont="1" applyFill="1"/>
    <xf numFmtId="0" fontId="0" fillId="0" borderId="0" xfId="0"/>
    <xf numFmtId="0" fontId="0" fillId="0" borderId="0" xfId="0"/>
    <xf numFmtId="0" fontId="0" fillId="0" borderId="0" xfId="0"/>
    <xf numFmtId="0" fontId="0" fillId="0" borderId="0" xfId="0" applyBorder="1" applyAlignment="1"/>
    <xf numFmtId="0" fontId="0" fillId="0" borderId="0" xfId="0" applyAlignment="1">
      <alignment vertical="top"/>
    </xf>
    <xf numFmtId="0" fontId="0" fillId="0" borderId="0" xfId="0" applyAlignment="1"/>
    <xf numFmtId="0" fontId="0" fillId="0" borderId="0" xfId="0" applyAlignment="1"/>
    <xf numFmtId="0" fontId="38" fillId="3" borderId="4" xfId="6" applyBorder="1"/>
    <xf numFmtId="0" fontId="38" fillId="3" borderId="4" xfId="6" applyBorder="1" applyAlignment="1">
      <alignment horizontal="right"/>
    </xf>
    <xf numFmtId="0" fontId="38" fillId="3" borderId="0" xfId="6" applyBorder="1" applyAlignment="1">
      <alignment horizontal="left" indent="1"/>
    </xf>
    <xf numFmtId="0" fontId="38" fillId="3" borderId="4" xfId="6" applyBorder="1" applyAlignment="1"/>
    <xf numFmtId="0" fontId="38" fillId="3" borderId="0" xfId="6" applyBorder="1" applyAlignment="1">
      <alignment horizontal="right" indent="1"/>
    </xf>
    <xf numFmtId="0" fontId="34" fillId="3" borderId="13" xfId="26" applyBorder="1">
      <alignment horizontal="right"/>
    </xf>
    <xf numFmtId="0" fontId="38" fillId="3" borderId="10" xfId="6" applyBorder="1" applyAlignment="1"/>
    <xf numFmtId="0" fontId="38" fillId="3" borderId="10" xfId="6" applyBorder="1"/>
    <xf numFmtId="0" fontId="38" fillId="3" borderId="10" xfId="6" applyBorder="1" applyAlignment="1">
      <alignment horizontal="left" indent="1"/>
    </xf>
    <xf numFmtId="0" fontId="38" fillId="3" borderId="10" xfId="28" applyBorder="1">
      <alignment horizontal="left"/>
    </xf>
    <xf numFmtId="0" fontId="38" fillId="3" borderId="11" xfId="6" applyBorder="1" applyAlignment="1"/>
    <xf numFmtId="0" fontId="38" fillId="3" borderId="0" xfId="6" applyBorder="1" applyAlignment="1">
      <alignment horizontal="left" vertical="top" wrapText="1"/>
    </xf>
    <xf numFmtId="0" fontId="38" fillId="3" borderId="0" xfId="6" quotePrefix="1" applyBorder="1" applyAlignment="1">
      <alignment horizontal="center" vertical="top"/>
    </xf>
    <xf numFmtId="0" fontId="38" fillId="3" borderId="11" xfId="6" applyBorder="1"/>
    <xf numFmtId="0" fontId="13" fillId="4" borderId="2" xfId="11" applyFont="1" applyBorder="1" applyAlignment="1"/>
    <xf numFmtId="0" fontId="13" fillId="4" borderId="0" xfId="11" applyFont="1" applyBorder="1" applyAlignment="1"/>
    <xf numFmtId="0" fontId="7" fillId="4" borderId="4" xfId="11" applyFont="1" applyBorder="1"/>
    <xf numFmtId="0" fontId="24" fillId="4" borderId="2" xfId="11" applyFont="1" applyBorder="1"/>
    <xf numFmtId="0" fontId="13" fillId="4" borderId="4" xfId="11" applyFont="1" applyBorder="1" applyAlignment="1"/>
    <xf numFmtId="0" fontId="11" fillId="4" borderId="0" xfId="11" applyFont="1" applyBorder="1" applyAlignment="1"/>
    <xf numFmtId="0" fontId="18" fillId="4" borderId="0" xfId="11" applyFont="1" applyBorder="1" applyAlignment="1"/>
    <xf numFmtId="0" fontId="34" fillId="3" borderId="0" xfId="25" applyBorder="1">
      <alignment horizontal="right"/>
    </xf>
    <xf numFmtId="0" fontId="38" fillId="3" borderId="0" xfId="6" quotePrefix="1" applyBorder="1" applyAlignment="1">
      <alignment horizontal="center" wrapText="1"/>
    </xf>
    <xf numFmtId="0" fontId="44" fillId="3" borderId="10" xfId="15" applyBorder="1"/>
    <xf numFmtId="0" fontId="45" fillId="3" borderId="10" xfId="16" applyBorder="1"/>
    <xf numFmtId="0" fontId="46" fillId="3" borderId="10" xfId="17" applyBorder="1">
      <alignment horizontal="left"/>
    </xf>
    <xf numFmtId="0" fontId="19" fillId="4" borderId="0" xfId="11" applyFont="1" applyBorder="1" applyAlignment="1"/>
    <xf numFmtId="0" fontId="38" fillId="3" borderId="4" xfId="6" applyBorder="1" applyAlignment="1">
      <alignment horizontal="center" wrapText="1"/>
    </xf>
    <xf numFmtId="0" fontId="38" fillId="3" borderId="0" xfId="6" applyBorder="1" applyAlignment="1">
      <alignment horizontal="right"/>
    </xf>
    <xf numFmtId="0" fontId="25" fillId="4" borderId="0" xfId="11" applyFont="1" applyBorder="1"/>
    <xf numFmtId="0" fontId="17" fillId="4" borderId="4" xfId="11" applyFont="1" applyBorder="1"/>
    <xf numFmtId="0" fontId="38" fillId="3" borderId="0" xfId="6" applyBorder="1" applyAlignment="1">
      <alignment horizontal="left" indent="2"/>
    </xf>
    <xf numFmtId="0" fontId="38" fillId="3" borderId="0" xfId="6" applyBorder="1" applyAlignment="1">
      <alignment horizontal="center" wrapText="1"/>
    </xf>
    <xf numFmtId="0" fontId="38" fillId="3" borderId="0" xfId="6" applyBorder="1" applyAlignment="1">
      <alignment horizontal="centerContinuous"/>
    </xf>
    <xf numFmtId="0" fontId="38" fillId="3" borderId="0" xfId="6" quotePrefix="1" applyBorder="1"/>
    <xf numFmtId="0" fontId="38" fillId="3" borderId="0" xfId="6" applyBorder="1" applyAlignment="1">
      <alignment horizontal="left" vertical="center" indent="1"/>
    </xf>
    <xf numFmtId="0" fontId="13" fillId="4" borderId="4" xfId="11" applyFont="1" applyBorder="1"/>
    <xf numFmtId="0" fontId="13" fillId="4" borderId="0" xfId="11" applyFont="1" applyBorder="1"/>
    <xf numFmtId="0" fontId="38" fillId="3" borderId="10" xfId="6" applyBorder="1" applyAlignment="1">
      <alignment horizontal="left" vertical="top" indent="1"/>
    </xf>
    <xf numFmtId="0" fontId="17" fillId="4" borderId="0" xfId="11" applyFont="1" applyBorder="1"/>
    <xf numFmtId="0" fontId="38" fillId="3" borderId="0" xfId="6" applyBorder="1" applyAlignment="1">
      <alignment horizontal="left" vertical="top" indent="1"/>
    </xf>
    <xf numFmtId="0" fontId="38" fillId="3" borderId="0" xfId="6" applyBorder="1" applyAlignment="1">
      <alignment horizontal="centerContinuous" vertical="center" wrapText="1"/>
    </xf>
    <xf numFmtId="0" fontId="7" fillId="4" borderId="2" xfId="11" applyFont="1" applyBorder="1"/>
    <xf numFmtId="0" fontId="12" fillId="4" borderId="4" xfId="11" applyFont="1" applyBorder="1" applyAlignment="1"/>
    <xf numFmtId="0" fontId="12" fillId="4" borderId="4" xfId="11" applyFont="1" applyBorder="1" applyAlignment="1">
      <alignment vertical="center"/>
    </xf>
    <xf numFmtId="0" fontId="38" fillId="3" borderId="0" xfId="28" applyBorder="1" applyAlignment="1"/>
    <xf numFmtId="0" fontId="26" fillId="4" borderId="0" xfId="11" applyFont="1" applyBorder="1" applyAlignment="1"/>
    <xf numFmtId="0" fontId="26" fillId="4" borderId="0" xfId="11" applyFont="1" applyBorder="1" applyAlignment="1">
      <alignment readingOrder="1"/>
    </xf>
    <xf numFmtId="0" fontId="7" fillId="4" borderId="4" xfId="11" applyFont="1" applyBorder="1" applyAlignment="1">
      <alignment vertical="top" wrapText="1"/>
    </xf>
    <xf numFmtId="0" fontId="7" fillId="4" borderId="0" xfId="11" applyFont="1" applyBorder="1" applyAlignment="1">
      <alignment vertical="top" wrapText="1"/>
    </xf>
    <xf numFmtId="0" fontId="38" fillId="3" borderId="4" xfId="6" applyBorder="1" applyAlignment="1">
      <alignment horizontal="centerContinuous" wrapText="1"/>
    </xf>
    <xf numFmtId="0" fontId="39" fillId="3" borderId="10" xfId="8" applyBorder="1">
      <alignment horizontal="left"/>
    </xf>
    <xf numFmtId="0" fontId="11" fillId="4" borderId="0" xfId="11" applyFont="1" applyBorder="1" applyAlignment="1">
      <alignment horizontal="left" indent="2"/>
    </xf>
    <xf numFmtId="0" fontId="34" fillId="4" borderId="2" xfId="13" applyBorder="1" applyAlignment="1">
      <alignment horizontal="left"/>
    </xf>
    <xf numFmtId="0" fontId="38" fillId="2" borderId="0" xfId="6" applyFill="1" applyBorder="1" applyAlignment="1"/>
    <xf numFmtId="0" fontId="11" fillId="3" borderId="0" xfId="16" applyFont="1" applyBorder="1"/>
    <xf numFmtId="0" fontId="10" fillId="3" borderId="0" xfId="6" applyFont="1" applyBorder="1"/>
    <xf numFmtId="0" fontId="16" fillId="3" borderId="0" xfId="6" applyFont="1" applyBorder="1"/>
    <xf numFmtId="0" fontId="7" fillId="4" borderId="0" xfId="11" applyFont="1" applyBorder="1" applyAlignment="1"/>
    <xf numFmtId="0" fontId="0" fillId="0" borderId="0" xfId="0"/>
    <xf numFmtId="0" fontId="41" fillId="4" borderId="0" xfId="10" applyBorder="1">
      <alignment horizontal="right"/>
    </xf>
    <xf numFmtId="0" fontId="42" fillId="4" borderId="4" xfId="12" applyBorder="1" applyAlignment="1">
      <alignment vertical="top" wrapText="1"/>
    </xf>
    <xf numFmtId="0" fontId="38" fillId="3" borderId="13" xfId="6" applyBorder="1" applyAlignment="1"/>
    <xf numFmtId="0" fontId="34" fillId="3" borderId="0" xfId="26" applyBorder="1">
      <alignment horizontal="right"/>
    </xf>
    <xf numFmtId="0" fontId="46" fillId="3" borderId="0" xfId="6" applyFont="1" applyBorder="1"/>
    <xf numFmtId="0" fontId="44" fillId="3" borderId="0" xfId="15" applyBorder="1" applyAlignment="1">
      <alignment horizontal="left" indent="1"/>
    </xf>
    <xf numFmtId="0" fontId="0" fillId="0" borderId="0" xfId="0"/>
    <xf numFmtId="0" fontId="34" fillId="3" borderId="10" xfId="26" applyBorder="1">
      <alignment horizontal="right"/>
    </xf>
    <xf numFmtId="0" fontId="24" fillId="4" borderId="0" xfId="11" applyFont="1" applyBorder="1"/>
    <xf numFmtId="0" fontId="38" fillId="0" borderId="0" xfId="6" applyFill="1"/>
    <xf numFmtId="0" fontId="0" fillId="0" borderId="0" xfId="0" applyFill="1" applyAlignment="1"/>
    <xf numFmtId="0" fontId="0" fillId="0" borderId="0" xfId="0"/>
    <xf numFmtId="0" fontId="0" fillId="0" borderId="0" xfId="0"/>
    <xf numFmtId="165" fontId="33" fillId="0" borderId="3" xfId="1" applyFont="1" applyBorder="1" applyAlignment="1" applyProtection="1"/>
    <xf numFmtId="0" fontId="0" fillId="0" borderId="3" xfId="0" applyBorder="1"/>
    <xf numFmtId="0" fontId="38" fillId="3" borderId="10" xfId="6" applyBorder="1" applyAlignment="1">
      <alignment horizontal="left"/>
    </xf>
    <xf numFmtId="0" fontId="0" fillId="0" borderId="0" xfId="0" applyFill="1" applyBorder="1"/>
    <xf numFmtId="0" fontId="5" fillId="0" borderId="0" xfId="0" applyFont="1" applyFill="1" applyAlignment="1">
      <alignment horizontal="center"/>
    </xf>
    <xf numFmtId="0" fontId="38" fillId="3" borderId="0" xfId="6" applyBorder="1" applyAlignment="1" applyProtection="1"/>
    <xf numFmtId="0" fontId="0" fillId="0" borderId="0" xfId="0"/>
    <xf numFmtId="0" fontId="0" fillId="0" borderId="0" xfId="0" applyFill="1"/>
    <xf numFmtId="0" fontId="0" fillId="0" borderId="0" xfId="0" applyBorder="1"/>
    <xf numFmtId="0" fontId="34" fillId="3" borderId="12" xfId="26" applyBorder="1">
      <alignment horizontal="right"/>
    </xf>
    <xf numFmtId="0" fontId="46" fillId="3" borderId="0" xfId="17" applyBorder="1">
      <alignment horizontal="left"/>
    </xf>
    <xf numFmtId="0" fontId="46" fillId="3" borderId="0" xfId="6" applyFont="1" applyBorder="1" applyAlignment="1"/>
    <xf numFmtId="0" fontId="46" fillId="3" borderId="0" xfId="6" applyFont="1" applyBorder="1" applyAlignment="1">
      <alignment horizontal="left"/>
    </xf>
    <xf numFmtId="0" fontId="46" fillId="3" borderId="0" xfId="28" applyFont="1" applyBorder="1">
      <alignment horizontal="left"/>
    </xf>
    <xf numFmtId="0" fontId="0" fillId="0" borderId="0" xfId="0"/>
    <xf numFmtId="0" fontId="38" fillId="3" borderId="0" xfId="6" applyBorder="1"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10" fillId="3" borderId="0" xfId="6" applyFont="1" applyBorder="1" applyAlignment="1">
      <alignment horizontal="left"/>
    </xf>
    <xf numFmtId="0" fontId="46" fillId="3" borderId="0" xfId="18" applyBorder="1" applyAlignment="1">
      <alignment horizontal="left" vertical="center" wrapText="1"/>
    </xf>
    <xf numFmtId="0" fontId="34" fillId="3" borderId="0" xfId="25" applyBorder="1" applyAlignment="1">
      <alignment horizontal="right"/>
    </xf>
    <xf numFmtId="0" fontId="0" fillId="0" borderId="0" xfId="0"/>
    <xf numFmtId="0" fontId="0" fillId="0" borderId="0" xfId="0"/>
    <xf numFmtId="0" fontId="42" fillId="4" borderId="0" xfId="12" applyBorder="1" applyAlignment="1">
      <alignment horizontal="left" vertical="top" wrapText="1"/>
    </xf>
    <xf numFmtId="0" fontId="0" fillId="0" borderId="0" xfId="0"/>
    <xf numFmtId="0" fontId="0" fillId="0" borderId="0" xfId="0"/>
    <xf numFmtId="0" fontId="40" fillId="4" borderId="2" xfId="9" applyBorder="1"/>
    <xf numFmtId="0" fontId="40" fillId="4" borderId="0" xfId="9" applyBorder="1"/>
    <xf numFmtId="0" fontId="7" fillId="4" borderId="2" xfId="11" applyFont="1" applyBorder="1" applyAlignment="1">
      <alignment horizontal="left" vertical="top" wrapText="1" indent="1"/>
    </xf>
    <xf numFmtId="0" fontId="38" fillId="3" borderId="0" xfId="6" applyBorder="1" applyAlignment="1">
      <alignment wrapText="1"/>
    </xf>
    <xf numFmtId="0" fontId="39" fillId="3" borderId="0" xfId="8" applyBorder="1">
      <alignment horizontal="left"/>
    </xf>
    <xf numFmtId="0" fontId="46" fillId="3" borderId="0" xfId="18" applyBorder="1">
      <alignment horizontal="center" wrapText="1"/>
    </xf>
    <xf numFmtId="0" fontId="44" fillId="3" borderId="0" xfId="15" applyBorder="1"/>
    <xf numFmtId="0" fontId="38" fillId="3" borderId="0" xfId="6" applyBorder="1" applyAlignment="1">
      <alignment horizontal="left"/>
    </xf>
    <xf numFmtId="0" fontId="38" fillId="3" borderId="0" xfId="28" applyBorder="1">
      <alignment horizontal="left"/>
    </xf>
    <xf numFmtId="0" fontId="45" fillId="3" borderId="0" xfId="16" applyBorder="1"/>
    <xf numFmtId="0" fontId="46" fillId="3" borderId="0" xfId="19" applyBorder="1">
      <alignment horizontal="center" wrapText="1"/>
    </xf>
    <xf numFmtId="0" fontId="50" fillId="3" borderId="4" xfId="6" applyFont="1" applyBorder="1"/>
    <xf numFmtId="0" fontId="50" fillId="3" borderId="11" xfId="6" applyFont="1" applyBorder="1"/>
    <xf numFmtId="0" fontId="34" fillId="3" borderId="0" xfId="8" applyFont="1" applyBorder="1">
      <alignment horizontal="left"/>
    </xf>
    <xf numFmtId="0" fontId="50" fillId="3" borderId="0" xfId="6" applyFont="1" applyBorder="1"/>
    <xf numFmtId="0" fontId="50" fillId="3" borderId="0" xfId="6" applyFont="1" applyBorder="1" applyAlignment="1"/>
    <xf numFmtId="0" fontId="29" fillId="0" borderId="0" xfId="0" applyFont="1"/>
    <xf numFmtId="0" fontId="45" fillId="3" borderId="0" xfId="17" applyFont="1" applyBorder="1">
      <alignment horizontal="left"/>
    </xf>
    <xf numFmtId="0" fontId="50" fillId="3" borderId="0" xfId="28" applyFont="1" applyBorder="1">
      <alignment horizontal="left"/>
    </xf>
    <xf numFmtId="0" fontId="45" fillId="3" borderId="0" xfId="17" applyFont="1" applyBorder="1" applyAlignment="1">
      <alignment horizontal="right"/>
    </xf>
    <xf numFmtId="0" fontId="52" fillId="3" borderId="13" xfId="26" applyFont="1" applyBorder="1">
      <alignment horizontal="right"/>
    </xf>
    <xf numFmtId="0" fontId="50" fillId="3" borderId="10" xfId="6" applyFont="1" applyBorder="1"/>
    <xf numFmtId="0" fontId="50" fillId="3" borderId="10" xfId="6" applyFont="1" applyBorder="1" applyAlignment="1">
      <alignment horizontal="right" indent="1"/>
    </xf>
    <xf numFmtId="0" fontId="38" fillId="3" borderId="10" xfId="28" applyBorder="1" applyAlignment="1"/>
    <xf numFmtId="0" fontId="44" fillId="3" borderId="0" xfId="15" applyFont="1" applyBorder="1" applyAlignment="1">
      <alignment horizontal="left" indent="1"/>
    </xf>
    <xf numFmtId="0" fontId="52" fillId="3" borderId="2" xfId="8" applyFont="1" applyBorder="1" applyAlignment="1">
      <alignment wrapText="1"/>
    </xf>
    <xf numFmtId="0" fontId="53" fillId="3" borderId="0" xfId="15" applyFont="1" applyBorder="1"/>
    <xf numFmtId="0" fontId="45" fillId="3" borderId="0" xfId="15" applyFont="1" applyBorder="1"/>
    <xf numFmtId="0" fontId="44" fillId="3" borderId="0" xfId="15" applyFont="1" applyBorder="1"/>
    <xf numFmtId="0" fontId="50" fillId="3" borderId="10" xfId="6" applyFont="1" applyBorder="1" applyAlignment="1"/>
    <xf numFmtId="0" fontId="45" fillId="3" borderId="0" xfId="16" applyFont="1" applyBorder="1" applyAlignment="1"/>
    <xf numFmtId="0" fontId="45" fillId="3" borderId="0" xfId="16" applyFont="1" applyBorder="1"/>
    <xf numFmtId="0" fontId="46" fillId="3" borderId="0" xfId="17" applyFont="1" applyBorder="1">
      <alignment horizontal="left"/>
    </xf>
    <xf numFmtId="0" fontId="38" fillId="3" borderId="0" xfId="6" applyFont="1" applyBorder="1" applyAlignment="1"/>
    <xf numFmtId="0" fontId="38" fillId="3" borderId="0" xfId="6" applyFont="1" applyBorder="1" applyAlignment="1">
      <alignment horizontal="right"/>
    </xf>
    <xf numFmtId="0" fontId="34" fillId="3" borderId="0" xfId="25" applyFont="1" applyBorder="1">
      <alignment horizontal="right"/>
    </xf>
    <xf numFmtId="0" fontId="38" fillId="3" borderId="0" xfId="6" applyFont="1" applyBorder="1"/>
    <xf numFmtId="0" fontId="38" fillId="3" borderId="0" xfId="6" quotePrefix="1" applyFont="1" applyBorder="1" applyAlignment="1">
      <alignment horizontal="center" vertical="center" wrapText="1"/>
    </xf>
    <xf numFmtId="0" fontId="34" fillId="3" borderId="0" xfId="28" applyFont="1" applyBorder="1">
      <alignment horizontal="left"/>
    </xf>
    <xf numFmtId="0" fontId="34" fillId="3" borderId="0" xfId="17" applyFont="1" applyBorder="1" applyAlignment="1">
      <alignment horizontal="right"/>
    </xf>
    <xf numFmtId="0" fontId="46" fillId="3" borderId="0" xfId="19" quotePrefix="1" applyFont="1" applyBorder="1">
      <alignment horizontal="center" wrapText="1"/>
    </xf>
    <xf numFmtId="0" fontId="16" fillId="3" borderId="0" xfId="28" applyFont="1" applyBorder="1">
      <alignment horizontal="left"/>
    </xf>
    <xf numFmtId="0" fontId="38" fillId="3" borderId="0" xfId="6" quotePrefix="1" applyFont="1" applyBorder="1" applyAlignment="1">
      <alignment horizontal="center" wrapText="1"/>
    </xf>
    <xf numFmtId="0" fontId="38" fillId="3" borderId="0" xfId="6" applyFont="1" applyBorder="1" applyAlignment="1">
      <alignment horizontal="left" indent="1"/>
    </xf>
    <xf numFmtId="0" fontId="46" fillId="3" borderId="0" xfId="18" quotePrefix="1" applyFont="1" applyBorder="1" applyAlignment="1">
      <alignment horizontal="center" wrapText="1"/>
    </xf>
    <xf numFmtId="0" fontId="46" fillId="3" borderId="0" xfId="18" quotePrefix="1" applyFont="1" applyBorder="1" applyAlignment="1">
      <alignment horizontal="center" vertical="center" wrapText="1"/>
    </xf>
    <xf numFmtId="0" fontId="38" fillId="3" borderId="10" xfId="6" applyFont="1" applyBorder="1"/>
    <xf numFmtId="0" fontId="42" fillId="4" borderId="4" xfId="12" applyFont="1" applyBorder="1" applyAlignment="1">
      <alignment vertical="top" wrapText="1"/>
    </xf>
    <xf numFmtId="0" fontId="0" fillId="0" borderId="0" xfId="0" applyFont="1"/>
    <xf numFmtId="0" fontId="38" fillId="3" borderId="0" xfId="6" applyFont="1" applyBorder="1" applyAlignment="1">
      <alignment horizontal="centerContinuous" wrapText="1"/>
    </xf>
    <xf numFmtId="0" fontId="34" fillId="3" borderId="0" xfId="2" applyFont="1" applyBorder="1"/>
    <xf numFmtId="0" fontId="38" fillId="3" borderId="0" xfId="6" applyFont="1" applyBorder="1" applyAlignment="1">
      <alignment horizontal="center" wrapText="1"/>
    </xf>
    <xf numFmtId="0" fontId="38" fillId="3" borderId="0" xfId="17" applyFont="1" applyBorder="1">
      <alignment horizontal="left"/>
    </xf>
    <xf numFmtId="0" fontId="38" fillId="3" borderId="0" xfId="28" applyFont="1" applyBorder="1" applyAlignment="1"/>
    <xf numFmtId="0" fontId="38" fillId="3" borderId="0" xfId="6" applyFont="1" applyBorder="1" applyAlignment="1">
      <alignment horizontal="left" vertical="top" indent="1"/>
    </xf>
    <xf numFmtId="0" fontId="46" fillId="3" borderId="0" xfId="16" applyFont="1" applyBorder="1" applyAlignment="1"/>
    <xf numFmtId="0" fontId="46" fillId="3" borderId="0" xfId="17" applyFont="1" applyBorder="1" applyAlignment="1"/>
    <xf numFmtId="0" fontId="16" fillId="3" borderId="0" xfId="15" applyFont="1" applyBorder="1"/>
    <xf numFmtId="0" fontId="38" fillId="3" borderId="0" xfId="6" applyFont="1" applyBorder="1" applyAlignment="1">
      <alignment horizontal="left" vertical="center"/>
    </xf>
    <xf numFmtId="0" fontId="11" fillId="3" borderId="0" xfId="8" applyFont="1" applyBorder="1">
      <alignment horizontal="left"/>
    </xf>
    <xf numFmtId="0" fontId="46" fillId="3" borderId="0" xfId="17" applyFont="1" applyBorder="1" applyAlignment="1">
      <alignment horizontal="right"/>
    </xf>
    <xf numFmtId="0" fontId="30" fillId="3" borderId="0" xfId="15" applyFont="1" applyBorder="1"/>
    <xf numFmtId="0" fontId="46" fillId="3" borderId="0" xfId="6" applyFont="1" applyBorder="1" applyAlignment="1">
      <alignment horizontal="right" vertical="center"/>
    </xf>
    <xf numFmtId="0" fontId="46" fillId="3" borderId="0" xfId="17" applyFont="1" applyBorder="1" applyAlignment="1">
      <alignment horizontal="left"/>
    </xf>
    <xf numFmtId="0" fontId="34" fillId="3" borderId="0" xfId="26" applyFont="1" applyBorder="1">
      <alignment horizontal="right"/>
    </xf>
    <xf numFmtId="0" fontId="38" fillId="3" borderId="0" xfId="6" applyFont="1" applyBorder="1" applyAlignment="1">
      <alignment horizontal="right" wrapText="1"/>
    </xf>
    <xf numFmtId="0" fontId="46" fillId="3" borderId="0" xfId="28" applyFont="1" applyBorder="1" applyAlignment="1"/>
    <xf numFmtId="0" fontId="38" fillId="3" borderId="0" xfId="6" applyFont="1" applyBorder="1" applyAlignment="1">
      <alignment horizontal="left" indent="2"/>
    </xf>
    <xf numFmtId="0" fontId="38" fillId="3" borderId="0" xfId="6" applyFont="1" applyBorder="1" applyAlignment="1">
      <alignment horizontal="left" indent="3"/>
    </xf>
    <xf numFmtId="0" fontId="38" fillId="3" borderId="0" xfId="28" applyFont="1" applyBorder="1" applyAlignment="1">
      <alignment horizontal="left"/>
    </xf>
    <xf numFmtId="0" fontId="11" fillId="3" borderId="0" xfId="8" applyFont="1" applyBorder="1" applyAlignment="1">
      <alignment horizontal="left" vertical="center" wrapText="1"/>
    </xf>
    <xf numFmtId="0" fontId="46" fillId="3" borderId="0" xfId="16" applyFont="1" applyBorder="1"/>
    <xf numFmtId="0" fontId="34" fillId="3" borderId="12" xfId="6" applyFont="1" applyBorder="1" applyAlignment="1"/>
    <xf numFmtId="0" fontId="38" fillId="3" borderId="0" xfId="6" applyBorder="1" applyAlignment="1">
      <alignment horizontal="center"/>
    </xf>
    <xf numFmtId="0" fontId="0" fillId="0" borderId="0" xfId="0"/>
    <xf numFmtId="0" fontId="38" fillId="3" borderId="0" xfId="6" applyFont="1" applyBorder="1" applyAlignment="1">
      <alignment wrapText="1"/>
    </xf>
    <xf numFmtId="0" fontId="0" fillId="0" borderId="0" xfId="0" applyBorder="1" applyAlignment="1">
      <alignment horizontal="left" indent="2"/>
    </xf>
    <xf numFmtId="0" fontId="0" fillId="0" borderId="0" xfId="0" applyFont="1" applyAlignment="1">
      <alignment horizontal="left" indent="2"/>
    </xf>
    <xf numFmtId="0" fontId="0" fillId="0" borderId="0" xfId="0" applyAlignment="1">
      <alignment horizontal="left" indent="2"/>
    </xf>
    <xf numFmtId="0" fontId="0" fillId="0" borderId="0" xfId="0" quotePrefix="1" applyAlignment="1">
      <alignment horizontal="left" indent="2"/>
    </xf>
    <xf numFmtId="0" fontId="0" fillId="0" borderId="0" xfId="0"/>
    <xf numFmtId="0" fontId="0" fillId="0" borderId="0" xfId="0" applyFill="1" applyAlignment="1">
      <alignment horizontal="left" indent="2"/>
    </xf>
    <xf numFmtId="0" fontId="13" fillId="0" borderId="0" xfId="0" applyFont="1" applyFill="1" applyBorder="1" applyAlignment="1" applyProtection="1">
      <alignment horizontal="left" indent="2"/>
    </xf>
    <xf numFmtId="0" fontId="0" fillId="0" borderId="0" xfId="0" applyAlignment="1">
      <alignment horizontal="left" vertical="top" indent="2"/>
    </xf>
    <xf numFmtId="0" fontId="3" fillId="0" borderId="0" xfId="0" applyFont="1" applyAlignment="1">
      <alignment horizontal="left" indent="2"/>
    </xf>
    <xf numFmtId="0" fontId="51" fillId="0" borderId="0" xfId="0" applyFont="1" applyAlignment="1">
      <alignment horizontal="left" indent="2"/>
    </xf>
    <xf numFmtId="0" fontId="5" fillId="0" borderId="0" xfId="0" applyFont="1" applyFill="1" applyAlignment="1">
      <alignment horizontal="left" indent="2"/>
    </xf>
    <xf numFmtId="0" fontId="0" fillId="0" borderId="2" xfId="0" applyFill="1" applyBorder="1"/>
    <xf numFmtId="0" fontId="38" fillId="3" borderId="0" xfId="28" applyFont="1" applyBorder="1">
      <alignment horizontal="left"/>
    </xf>
    <xf numFmtId="0" fontId="0" fillId="0" borderId="0" xfId="0"/>
    <xf numFmtId="0" fontId="46" fillId="3" borderId="0" xfId="19" applyFont="1" applyBorder="1">
      <alignment horizontal="center" wrapText="1"/>
    </xf>
    <xf numFmtId="0" fontId="46" fillId="3" borderId="10" xfId="6" applyFont="1" applyBorder="1" applyAlignment="1">
      <alignment horizontal="center" wrapText="1"/>
    </xf>
    <xf numFmtId="0" fontId="0" fillId="0" borderId="0" xfId="0"/>
    <xf numFmtId="0" fontId="0" fillId="0" borderId="0" xfId="0" applyFill="1" applyAlignment="1" applyProtection="1">
      <alignment horizontal="left" indent="2"/>
      <protection locked="0"/>
    </xf>
    <xf numFmtId="0" fontId="0" fillId="0" borderId="0" xfId="0" applyFill="1" applyProtection="1">
      <protection locked="0"/>
    </xf>
    <xf numFmtId="0" fontId="38" fillId="3" borderId="0" xfId="6" applyBorder="1" applyAlignment="1" applyProtection="1">
      <protection locked="0"/>
    </xf>
    <xf numFmtId="0" fontId="38" fillId="3" borderId="0" xfId="6" applyBorder="1" applyProtection="1">
      <protection locked="0"/>
    </xf>
    <xf numFmtId="0" fontId="38" fillId="3" borderId="4" xfId="6" applyBorder="1" applyProtection="1">
      <protection locked="0"/>
    </xf>
    <xf numFmtId="0" fontId="0" fillId="0" borderId="0" xfId="0" applyBorder="1" applyProtection="1">
      <protection locked="0"/>
    </xf>
    <xf numFmtId="0" fontId="38" fillId="3" borderId="0" xfId="6" applyBorder="1" applyAlignment="1" applyProtection="1">
      <alignment horizontal="left" indent="2"/>
      <protection locked="0"/>
    </xf>
    <xf numFmtId="0" fontId="0" fillId="0" borderId="0" xfId="0" applyProtection="1">
      <protection locked="0"/>
    </xf>
    <xf numFmtId="0" fontId="46" fillId="4" borderId="16" xfId="12" applyFont="1" applyBorder="1" applyAlignment="1">
      <alignment horizontal="center" vertical="center" wrapText="1"/>
    </xf>
    <xf numFmtId="0" fontId="46" fillId="4" borderId="3" xfId="12" applyFont="1" applyBorder="1" applyAlignment="1">
      <alignment horizontal="center" vertical="center" wrapText="1"/>
    </xf>
    <xf numFmtId="0" fontId="42" fillId="4" borderId="17" xfId="12" applyBorder="1">
      <alignment vertical="top" wrapText="1"/>
    </xf>
    <xf numFmtId="0" fontId="42" fillId="4" borderId="15" xfId="12" applyBorder="1">
      <alignment vertical="top" wrapText="1"/>
    </xf>
    <xf numFmtId="0" fontId="42" fillId="4" borderId="14" xfId="12" applyBorder="1">
      <alignment vertical="top" wrapText="1"/>
    </xf>
    <xf numFmtId="0" fontId="38" fillId="3" borderId="0" xfId="6" applyBorder="1" applyProtection="1"/>
    <xf numFmtId="0" fontId="38" fillId="3" borderId="0" xfId="6" applyBorder="1" applyAlignment="1" applyProtection="1">
      <alignment horizontal="left" indent="2"/>
    </xf>
    <xf numFmtId="0" fontId="46" fillId="3" borderId="0" xfId="17" applyBorder="1" applyProtection="1">
      <alignment horizontal="left"/>
    </xf>
    <xf numFmtId="0" fontId="38" fillId="3" borderId="4" xfId="6" applyBorder="1" applyProtection="1"/>
    <xf numFmtId="0" fontId="0" fillId="0" borderId="0" xfId="0" applyProtection="1"/>
    <xf numFmtId="0" fontId="38" fillId="3" borderId="0" xfId="28" applyBorder="1" applyProtection="1">
      <alignment horizontal="left"/>
    </xf>
    <xf numFmtId="0" fontId="38" fillId="3" borderId="0" xfId="6" applyBorder="1" applyAlignment="1" applyProtection="1">
      <alignment horizontal="center"/>
    </xf>
    <xf numFmtId="0" fontId="38" fillId="3" borderId="0" xfId="6" applyBorder="1" applyAlignment="1" applyProtection="1">
      <alignment horizontal="left" indent="1"/>
    </xf>
    <xf numFmtId="0" fontId="0" fillId="0" borderId="0" xfId="0"/>
    <xf numFmtId="0" fontId="0" fillId="0" borderId="0" xfId="0" applyFill="1" applyAlignment="1" applyProtection="1">
      <alignment horizontal="left" indent="2"/>
    </xf>
    <xf numFmtId="0" fontId="0" fillId="0" borderId="0" xfId="0" applyFill="1" applyProtection="1"/>
    <xf numFmtId="0" fontId="0" fillId="0" borderId="4" xfId="0" applyFill="1" applyBorder="1"/>
    <xf numFmtId="0" fontId="52" fillId="3" borderId="0" xfId="8" applyFont="1" applyBorder="1" applyAlignment="1">
      <alignment wrapText="1"/>
    </xf>
    <xf numFmtId="0" fontId="40" fillId="4" borderId="2" xfId="9" applyFont="1" applyBorder="1" applyAlignment="1">
      <alignment horizontal="left" indent="1"/>
    </xf>
    <xf numFmtId="0" fontId="49" fillId="0" borderId="0" xfId="0" applyFont="1" applyAlignment="1">
      <alignment horizontal="left"/>
    </xf>
    <xf numFmtId="0" fontId="38" fillId="3" borderId="0" xfId="6" applyAlignment="1"/>
    <xf numFmtId="0" fontId="55" fillId="0" borderId="0" xfId="0" applyFont="1" applyAlignment="1">
      <alignment horizontal="left" indent="2"/>
    </xf>
    <xf numFmtId="0" fontId="38" fillId="3" borderId="10" xfId="6" applyBorder="1" applyAlignment="1">
      <alignment horizontal="left" indent="2"/>
    </xf>
    <xf numFmtId="0" fontId="0" fillId="0" borderId="0" xfId="0" quotePrefix="1" applyFill="1" applyAlignment="1">
      <alignment horizontal="left" indent="2"/>
    </xf>
    <xf numFmtId="0" fontId="56" fillId="0" borderId="0" xfId="0" applyFont="1"/>
    <xf numFmtId="0" fontId="56" fillId="0" borderId="0" xfId="0" applyFont="1" applyAlignment="1">
      <alignment horizontal="left" indent="2"/>
    </xf>
    <xf numFmtId="0" fontId="38" fillId="3" borderId="0" xfId="6" applyBorder="1" applyAlignment="1" applyProtection="1">
      <alignment horizontal="left"/>
      <protection locked="0"/>
    </xf>
    <xf numFmtId="0" fontId="38" fillId="3" borderId="0" xfId="6" applyBorder="1" applyAlignment="1" applyProtection="1">
      <alignment vertical="top"/>
      <protection locked="0"/>
    </xf>
    <xf numFmtId="0" fontId="46" fillId="3" borderId="0" xfId="18" applyFont="1" applyBorder="1" applyAlignment="1">
      <alignment wrapText="1"/>
    </xf>
    <xf numFmtId="0" fontId="44" fillId="3" borderId="4" xfId="15" applyBorder="1"/>
    <xf numFmtId="0" fontId="13" fillId="0" borderId="0" xfId="11" applyFont="1" applyFill="1" applyBorder="1" applyAlignment="1"/>
    <xf numFmtId="0" fontId="38" fillId="0" borderId="0" xfId="6" applyFill="1" applyBorder="1" applyAlignment="1"/>
    <xf numFmtId="0" fontId="0" fillId="0" borderId="0" xfId="0"/>
    <xf numFmtId="0" fontId="0" fillId="0" borderId="0" xfId="0" applyAlignment="1"/>
    <xf numFmtId="0" fontId="59" fillId="3" borderId="0" xfId="6" applyFont="1" applyBorder="1"/>
    <xf numFmtId="0" fontId="59" fillId="3" borderId="0" xfId="6" applyFont="1" applyBorder="1" applyAlignment="1"/>
    <xf numFmtId="0" fontId="60" fillId="3" borderId="0" xfId="17" applyFont="1" applyBorder="1">
      <alignment horizontal="left"/>
    </xf>
    <xf numFmtId="0" fontId="59" fillId="3" borderId="0" xfId="28" applyFont="1" applyBorder="1">
      <alignment horizontal="left"/>
    </xf>
    <xf numFmtId="0" fontId="61" fillId="3" borderId="0" xfId="16" applyFont="1" applyBorder="1"/>
    <xf numFmtId="0" fontId="46" fillId="3" borderId="0" xfId="18" applyBorder="1" applyAlignment="1">
      <alignment horizontal="center" vertical="top" wrapText="1"/>
    </xf>
    <xf numFmtId="0" fontId="38" fillId="3" borderId="0" xfId="6" applyBorder="1" applyAlignment="1">
      <alignment vertical="top"/>
    </xf>
    <xf numFmtId="0" fontId="46" fillId="6" borderId="0" xfId="17" applyFill="1" applyBorder="1">
      <alignment horizontal="left"/>
    </xf>
    <xf numFmtId="0" fontId="38" fillId="6" borderId="0" xfId="28" applyFill="1" applyBorder="1">
      <alignment horizontal="left"/>
    </xf>
    <xf numFmtId="0" fontId="38" fillId="6" borderId="0" xfId="6" applyFill="1" applyBorder="1" applyAlignment="1"/>
    <xf numFmtId="0" fontId="45" fillId="6" borderId="0" xfId="16" applyFill="1" applyBorder="1"/>
    <xf numFmtId="0" fontId="0" fillId="5" borderId="0" xfId="0" applyFill="1"/>
    <xf numFmtId="0" fontId="0" fillId="5" borderId="0" xfId="0" applyFill="1" applyAlignment="1"/>
    <xf numFmtId="0" fontId="0" fillId="0" borderId="0" xfId="0" applyFill="1" applyBorder="1" applyAlignment="1"/>
    <xf numFmtId="0" fontId="58" fillId="0" borderId="0" xfId="11" applyFont="1" applyFill="1" applyBorder="1" applyAlignment="1"/>
    <xf numFmtId="0" fontId="42" fillId="0" borderId="0" xfId="12" applyFill="1" applyBorder="1" applyAlignment="1">
      <alignment vertical="top" wrapText="1"/>
    </xf>
    <xf numFmtId="0" fontId="38" fillId="2" borderId="0" xfId="28" applyFill="1" applyBorder="1">
      <alignment horizontal="left"/>
    </xf>
    <xf numFmtId="0" fontId="46" fillId="2" borderId="0" xfId="18" applyFill="1" applyBorder="1" applyAlignment="1">
      <alignment horizontal="center" wrapText="1"/>
    </xf>
    <xf numFmtId="0" fontId="34" fillId="2" borderId="0" xfId="2" applyFill="1" applyBorder="1" applyAlignment="1">
      <alignment horizontal="left" indent="1"/>
    </xf>
    <xf numFmtId="0" fontId="38" fillId="2" borderId="0" xfId="6" applyFill="1" applyBorder="1" applyAlignment="1">
      <alignment horizontal="left" indent="1"/>
    </xf>
    <xf numFmtId="0" fontId="38" fillId="2" borderId="4" xfId="6" applyFill="1" applyBorder="1" applyAlignment="1"/>
    <xf numFmtId="0" fontId="38" fillId="2" borderId="0" xfId="6" applyFill="1" applyBorder="1"/>
    <xf numFmtId="0" fontId="46" fillId="2" borderId="0" xfId="17" applyFont="1" applyFill="1" applyBorder="1">
      <alignment horizontal="left"/>
    </xf>
    <xf numFmtId="0" fontId="38" fillId="2" borderId="0" xfId="28" applyFont="1" applyFill="1" applyBorder="1">
      <alignment horizontal="left"/>
    </xf>
    <xf numFmtId="0" fontId="46" fillId="2" borderId="0" xfId="28" applyFont="1" applyFill="1" applyBorder="1">
      <alignment horizontal="left"/>
    </xf>
    <xf numFmtId="0" fontId="46" fillId="2" borderId="0" xfId="16" applyFont="1" applyFill="1" applyBorder="1"/>
    <xf numFmtId="0" fontId="34" fillId="2" borderId="0" xfId="25" applyFont="1" applyFill="1" applyBorder="1">
      <alignment horizontal="right"/>
    </xf>
    <xf numFmtId="0" fontId="0" fillId="2" borderId="0" xfId="0" applyFill="1"/>
    <xf numFmtId="0" fontId="46" fillId="2" borderId="0" xfId="15" applyFont="1" applyFill="1" applyBorder="1"/>
    <xf numFmtId="0" fontId="38" fillId="2" borderId="0" xfId="17" applyFont="1" applyFill="1" applyBorder="1">
      <alignment horizontal="left"/>
    </xf>
    <xf numFmtId="0" fontId="45" fillId="2" borderId="0" xfId="16" applyFill="1" applyBorder="1"/>
    <xf numFmtId="0" fontId="46" fillId="2" borderId="0" xfId="17" applyFill="1" applyBorder="1">
      <alignment horizontal="left"/>
    </xf>
    <xf numFmtId="0" fontId="46" fillId="2" borderId="0" xfId="18" applyFill="1" applyBorder="1" applyAlignment="1">
      <alignment horizontal="center" vertical="top" wrapText="1"/>
    </xf>
    <xf numFmtId="0" fontId="46" fillId="2" borderId="0" xfId="18" applyFont="1" applyFill="1" applyBorder="1" applyAlignment="1">
      <alignment horizontal="center" vertical="top" wrapText="1"/>
    </xf>
    <xf numFmtId="0" fontId="38" fillId="2" borderId="0" xfId="6" applyFont="1" applyFill="1" applyBorder="1" applyAlignment="1"/>
    <xf numFmtId="0" fontId="44" fillId="2" borderId="0" xfId="15" applyFill="1" applyBorder="1"/>
    <xf numFmtId="0" fontId="11" fillId="2" borderId="0" xfId="16" applyFont="1" applyFill="1" applyBorder="1"/>
    <xf numFmtId="0" fontId="38" fillId="2" borderId="0" xfId="6" applyFont="1" applyFill="1" applyBorder="1"/>
    <xf numFmtId="0" fontId="44" fillId="2" borderId="0" xfId="15" applyFont="1" applyFill="1" applyBorder="1"/>
    <xf numFmtId="0" fontId="16" fillId="2" borderId="0" xfId="28" applyFont="1" applyFill="1" applyBorder="1">
      <alignment horizontal="left"/>
    </xf>
    <xf numFmtId="0" fontId="38" fillId="2" borderId="0" xfId="6" applyFont="1" applyFill="1" applyBorder="1" applyAlignment="1">
      <alignment horizontal="left"/>
    </xf>
    <xf numFmtId="0" fontId="38" fillId="2" borderId="0" xfId="6" applyFill="1" applyBorder="1" applyAlignment="1">
      <alignment horizontal="left"/>
    </xf>
    <xf numFmtId="0" fontId="16" fillId="2" borderId="0" xfId="6" applyFont="1" applyFill="1" applyBorder="1"/>
    <xf numFmtId="0" fontId="38" fillId="2" borderId="0" xfId="6" applyFill="1" applyBorder="1" applyAlignment="1">
      <alignment horizontal="right"/>
    </xf>
    <xf numFmtId="0" fontId="34" fillId="2" borderId="0" xfId="25" applyFill="1" applyBorder="1">
      <alignment horizontal="right"/>
    </xf>
    <xf numFmtId="0" fontId="34" fillId="2" borderId="0" xfId="2" applyFill="1" applyBorder="1"/>
    <xf numFmtId="0" fontId="46" fillId="2" borderId="0" xfId="18" applyFill="1" applyBorder="1">
      <alignment horizontal="center" wrapText="1"/>
    </xf>
    <xf numFmtId="0" fontId="46" fillId="2" borderId="0" xfId="17" applyFont="1" applyFill="1" applyBorder="1" applyAlignment="1"/>
    <xf numFmtId="0" fontId="34" fillId="2" borderId="0" xfId="8" applyFont="1" applyFill="1" applyBorder="1">
      <alignment horizontal="left"/>
    </xf>
    <xf numFmtId="0" fontId="46" fillId="2" borderId="0" xfId="19" applyFont="1" applyFill="1" applyBorder="1">
      <alignment horizontal="center" wrapText="1"/>
    </xf>
    <xf numFmtId="0" fontId="46" fillId="2" borderId="0" xfId="19" applyFont="1" applyFill="1" applyBorder="1" applyAlignment="1">
      <alignment horizontal="center" wrapText="1"/>
    </xf>
    <xf numFmtId="0" fontId="44" fillId="2" borderId="0" xfId="15" applyFont="1" applyFill="1" applyBorder="1" applyAlignment="1">
      <alignment horizontal="left" indent="1"/>
    </xf>
    <xf numFmtId="0" fontId="50" fillId="2" borderId="0" xfId="6" applyFont="1" applyFill="1" applyBorder="1"/>
    <xf numFmtId="0" fontId="38" fillId="2" borderId="0" xfId="6" applyFont="1" applyFill="1" applyBorder="1" applyAlignment="1">
      <alignment horizontal="left" indent="1"/>
    </xf>
    <xf numFmtId="165" fontId="38" fillId="2" borderId="3" xfId="1" applyFont="1" applyFill="1" applyBorder="1" applyAlignment="1" applyProtection="1"/>
    <xf numFmtId="165" fontId="38" fillId="2" borderId="1" xfId="1" applyFont="1" applyFill="1" applyBorder="1" applyAlignment="1" applyProtection="1"/>
    <xf numFmtId="165" fontId="0" fillId="2" borderId="1" xfId="1" applyFont="1" applyFill="1" applyBorder="1" applyAlignment="1" applyProtection="1">
      <alignment horizontal="right"/>
    </xf>
    <xf numFmtId="165" fontId="38" fillId="2" borderId="3" xfId="1" applyFont="1" applyFill="1" applyBorder="1" applyAlignment="1" applyProtection="1">
      <alignment horizontal="right"/>
    </xf>
    <xf numFmtId="165" fontId="38" fillId="3" borderId="0" xfId="1" applyFont="1" applyFill="1" applyBorder="1" applyAlignment="1" applyProtection="1"/>
    <xf numFmtId="165" fontId="37" fillId="0" borderId="1" xfId="1" applyFont="1" applyBorder="1" applyAlignment="1" applyProtection="1">
      <protection locked="0"/>
    </xf>
    <xf numFmtId="165" fontId="42" fillId="4" borderId="17" xfId="1" applyFont="1" applyFill="1" applyBorder="1" applyAlignment="1" applyProtection="1">
      <alignment vertical="top" wrapText="1"/>
    </xf>
    <xf numFmtId="165" fontId="42" fillId="4" borderId="15" xfId="1" applyFont="1" applyFill="1" applyBorder="1" applyAlignment="1" applyProtection="1">
      <alignment vertical="top" wrapText="1"/>
    </xf>
    <xf numFmtId="165" fontId="10" fillId="2" borderId="1" xfId="1" applyFont="1" applyFill="1" applyBorder="1" applyAlignment="1" applyProtection="1">
      <alignment horizontal="right"/>
    </xf>
    <xf numFmtId="165" fontId="10" fillId="3" borderId="1" xfId="1" applyFont="1" applyFill="1" applyBorder="1" applyAlignment="1" applyProtection="1">
      <alignment horizontal="right"/>
    </xf>
    <xf numFmtId="165" fontId="10" fillId="2" borderId="1" xfId="1" applyFont="1" applyFill="1" applyBorder="1" applyAlignment="1" applyProtection="1"/>
    <xf numFmtId="165" fontId="10" fillId="3" borderId="5" xfId="1" applyFont="1" applyFill="1" applyBorder="1" applyAlignment="1" applyProtection="1">
      <alignment horizontal="right"/>
    </xf>
    <xf numFmtId="165" fontId="5" fillId="3" borderId="5" xfId="1" applyFont="1" applyFill="1" applyBorder="1" applyAlignment="1" applyProtection="1"/>
    <xf numFmtId="166" fontId="10" fillId="3" borderId="1" xfId="73" applyFont="1" applyFill="1" applyBorder="1"/>
    <xf numFmtId="166" fontId="37" fillId="0" borderId="1" xfId="73" applyFont="1" applyFill="1" applyBorder="1" applyProtection="1">
      <protection locked="0"/>
    </xf>
    <xf numFmtId="166" fontId="5" fillId="3" borderId="1" xfId="73" applyFont="1" applyFill="1" applyBorder="1" applyAlignment="1">
      <alignment horizontal="right"/>
    </xf>
    <xf numFmtId="165" fontId="46" fillId="3" borderId="0" xfId="1" quotePrefix="1" applyFont="1" applyFill="1" applyBorder="1" applyAlignment="1" applyProtection="1">
      <alignment horizontal="center" wrapText="1"/>
    </xf>
    <xf numFmtId="165" fontId="38" fillId="3" borderId="1" xfId="1" applyFont="1" applyFill="1" applyBorder="1" applyAlignment="1" applyProtection="1">
      <alignment horizontal="right"/>
    </xf>
    <xf numFmtId="167" fontId="37" fillId="0" borderId="1" xfId="75" applyFont="1" applyBorder="1" applyAlignment="1">
      <protection locked="0"/>
    </xf>
    <xf numFmtId="174" fontId="38" fillId="3" borderId="1" xfId="24" applyFont="1" applyFill="1" applyBorder="1" applyProtection="1"/>
    <xf numFmtId="174" fontId="37" fillId="0" borderId="1" xfId="24" applyFont="1" applyBorder="1">
      <protection locked="0"/>
    </xf>
    <xf numFmtId="174" fontId="10" fillId="2" borderId="3" xfId="24" applyFont="1" applyFill="1" applyBorder="1" applyProtection="1"/>
    <xf numFmtId="174" fontId="10" fillId="3" borderId="3" xfId="24" applyFont="1" applyFill="1" applyBorder="1" applyProtection="1"/>
    <xf numFmtId="174" fontId="5" fillId="3" borderId="3" xfId="24" applyFont="1" applyFill="1" applyBorder="1" applyAlignment="1" applyProtection="1">
      <alignment horizontal="right"/>
    </xf>
    <xf numFmtId="0" fontId="38" fillId="3" borderId="0" xfId="6"/>
    <xf numFmtId="0" fontId="38" fillId="3" borderId="0" xfId="6" applyAlignment="1">
      <alignment horizontal="left" indent="1"/>
    </xf>
    <xf numFmtId="0" fontId="38" fillId="3" borderId="0" xfId="6" applyAlignment="1">
      <alignment horizontal="center" wrapText="1"/>
    </xf>
    <xf numFmtId="169" fontId="37" fillId="0" borderId="1" xfId="74" applyFont="1" applyFill="1" applyBorder="1" applyProtection="1">
      <protection locked="0"/>
    </xf>
    <xf numFmtId="0" fontId="27" fillId="3" borderId="0" xfId="6" applyNumberFormat="1" applyFont="1" applyBorder="1"/>
    <xf numFmtId="0" fontId="33" fillId="0" borderId="0" xfId="22" applyNumberFormat="1" applyFont="1">
      <alignment horizontal="left" indent="1"/>
    </xf>
    <xf numFmtId="0" fontId="48" fillId="0" borderId="3" xfId="21" applyNumberFormat="1" applyBorder="1">
      <alignment horizontal="center" wrapText="1"/>
    </xf>
    <xf numFmtId="0" fontId="33" fillId="0" borderId="0" xfId="22" applyNumberFormat="1">
      <alignment horizontal="left" indent="1"/>
    </xf>
    <xf numFmtId="174" fontId="5" fillId="3" borderId="1" xfId="24" applyFont="1" applyFill="1" applyBorder="1" applyProtection="1"/>
    <xf numFmtId="171" fontId="16" fillId="3" borderId="0" xfId="27" applyFont="1" applyFill="1" applyBorder="1" applyAlignment="1">
      <alignment horizontal="center" wrapText="1"/>
    </xf>
    <xf numFmtId="171" fontId="5" fillId="3" borderId="0" xfId="27" applyFont="1" applyFill="1" applyBorder="1" applyAlignment="1">
      <alignment horizontal="left"/>
    </xf>
    <xf numFmtId="171" fontId="46" fillId="3" borderId="0" xfId="27" applyFont="1" applyFill="1" applyBorder="1" applyAlignment="1">
      <alignment horizontal="center" wrapText="1"/>
    </xf>
    <xf numFmtId="171" fontId="46" fillId="3" borderId="0" xfId="27" quotePrefix="1" applyFont="1" applyFill="1" applyBorder="1" applyAlignment="1">
      <alignment horizontal="center" wrapText="1"/>
    </xf>
    <xf numFmtId="0" fontId="0" fillId="4" borderId="0" xfId="11" applyFont="1" applyAlignment="1">
      <alignment horizontal="right"/>
    </xf>
    <xf numFmtId="173" fontId="37" fillId="0" borderId="1" xfId="76" applyFont="1" applyBorder="1">
      <protection locked="0"/>
    </xf>
    <xf numFmtId="175" fontId="38" fillId="3" borderId="1" xfId="23" applyFont="1" applyBorder="1" applyAlignment="1"/>
    <xf numFmtId="165" fontId="37" fillId="0" borderId="1" xfId="5" applyNumberFormat="1">
      <protection locked="0"/>
    </xf>
    <xf numFmtId="165" fontId="38" fillId="3" borderId="1" xfId="79" applyNumberFormat="1"/>
    <xf numFmtId="165" fontId="38" fillId="3" borderId="3" xfId="80" applyNumberFormat="1"/>
    <xf numFmtId="0" fontId="37" fillId="0" borderId="1" xfId="5" applyBorder="1" applyAlignment="1">
      <alignment horizontal="left" indent="1"/>
      <protection locked="0"/>
    </xf>
    <xf numFmtId="165" fontId="37" fillId="0" borderId="1" xfId="1" applyFont="1" applyBorder="1" applyAlignment="1">
      <alignment horizontal="left" indent="1"/>
      <protection locked="0"/>
    </xf>
    <xf numFmtId="0" fontId="46" fillId="2" borderId="0" xfId="6" applyFont="1" applyFill="1" applyBorder="1" applyAlignment="1">
      <alignment horizontal="right" vertical="center" wrapText="1"/>
    </xf>
    <xf numFmtId="0" fontId="49" fillId="0" borderId="10" xfId="0" applyFont="1" applyBorder="1" applyAlignment="1">
      <alignment horizontal="centerContinuous"/>
    </xf>
    <xf numFmtId="0" fontId="0" fillId="0" borderId="10" xfId="0" applyBorder="1" applyAlignment="1">
      <alignment horizontal="centerContinuous"/>
    </xf>
    <xf numFmtId="174" fontId="36" fillId="0" borderId="31" xfId="24" applyFont="1" applyFill="1" applyBorder="1" applyAlignment="1">
      <alignment horizontal="right"/>
      <protection locked="0"/>
    </xf>
    <xf numFmtId="174" fontId="5" fillId="3" borderId="31" xfId="24" applyFont="1" applyFill="1" applyBorder="1" applyProtection="1"/>
    <xf numFmtId="0" fontId="62" fillId="39" borderId="0" xfId="0" applyFont="1" applyFill="1" applyAlignment="1">
      <alignment horizontal="left"/>
    </xf>
    <xf numFmtId="0" fontId="38" fillId="39" borderId="0" xfId="28" applyFill="1">
      <alignment horizontal="left"/>
    </xf>
    <xf numFmtId="175" fontId="38" fillId="3" borderId="1" xfId="79" applyNumberFormat="1"/>
    <xf numFmtId="174" fontId="38" fillId="3" borderId="3" xfId="24" applyFont="1" applyFill="1" applyBorder="1" applyProtection="1"/>
    <xf numFmtId="0" fontId="46" fillId="3" borderId="0" xfId="18" applyBorder="1" applyAlignment="1">
      <alignment horizontal="center" wrapText="1"/>
    </xf>
    <xf numFmtId="0" fontId="46" fillId="3" borderId="0" xfId="18" applyFill="1" applyBorder="1" applyAlignment="1">
      <alignment horizontal="center" wrapText="1"/>
    </xf>
    <xf numFmtId="0" fontId="46" fillId="3" borderId="0" xfId="18" applyBorder="1" applyAlignment="1">
      <alignment horizontal="centerContinuous" wrapText="1"/>
    </xf>
    <xf numFmtId="49" fontId="48" fillId="0" borderId="32" xfId="21" applyFill="1" applyBorder="1" applyAlignment="1">
      <alignment horizontal="left" wrapText="1"/>
    </xf>
    <xf numFmtId="0" fontId="13" fillId="0" borderId="33" xfId="11" applyFont="1" applyFill="1" applyBorder="1" applyAlignment="1"/>
    <xf numFmtId="0" fontId="13" fillId="0" borderId="34" xfId="11" applyFont="1" applyFill="1" applyBorder="1" applyAlignment="1"/>
    <xf numFmtId="0" fontId="46" fillId="0" borderId="2" xfId="6" applyFont="1" applyFill="1" applyBorder="1" applyAlignment="1"/>
    <xf numFmtId="0" fontId="38" fillId="0" borderId="4" xfId="6" applyFill="1" applyBorder="1" applyAlignment="1"/>
    <xf numFmtId="0" fontId="56" fillId="0" borderId="2" xfId="0" applyFont="1" applyBorder="1"/>
    <xf numFmtId="0" fontId="38" fillId="0" borderId="9" xfId="6" applyFill="1" applyBorder="1" applyAlignment="1"/>
    <xf numFmtId="0" fontId="38" fillId="0" borderId="10" xfId="6" applyFill="1" applyBorder="1" applyAlignment="1"/>
    <xf numFmtId="0" fontId="38" fillId="0" borderId="11" xfId="6" applyFill="1" applyBorder="1" applyAlignment="1"/>
    <xf numFmtId="0" fontId="56" fillId="0" borderId="2" xfId="0" applyFont="1" applyBorder="1" applyAlignment="1">
      <alignment horizontal="left" indent="1"/>
    </xf>
    <xf numFmtId="49" fontId="48" fillId="0" borderId="0" xfId="21" applyAlignment="1">
      <alignment horizontal="left" indent="1"/>
    </xf>
    <xf numFmtId="49" fontId="48" fillId="0" borderId="32" xfId="21" applyBorder="1" applyAlignment="1">
      <alignment horizontal="left" indent="1"/>
    </xf>
    <xf numFmtId="0" fontId="38" fillId="0" borderId="33" xfId="6" applyFill="1" applyBorder="1" applyAlignment="1"/>
    <xf numFmtId="0" fontId="0" fillId="0" borderId="33" xfId="0" applyBorder="1"/>
    <xf numFmtId="0" fontId="0" fillId="0" borderId="34" xfId="0" applyBorder="1"/>
    <xf numFmtId="0" fontId="49" fillId="0" borderId="2" xfId="0" applyFont="1" applyBorder="1" applyAlignment="1">
      <alignment horizontal="left" indent="1"/>
    </xf>
    <xf numFmtId="0" fontId="49" fillId="0" borderId="0" xfId="0" applyFont="1" applyBorder="1" applyAlignment="1">
      <alignment horizontal="center"/>
    </xf>
    <xf numFmtId="0" fontId="0" fillId="0" borderId="11" xfId="0" applyBorder="1" applyAlignment="1">
      <alignment horizontal="centerContinuous"/>
    </xf>
    <xf numFmtId="0" fontId="0" fillId="0" borderId="2" xfId="0" applyFont="1" applyBorder="1"/>
    <xf numFmtId="0" fontId="49" fillId="0" borderId="4" xfId="0" applyFont="1" applyBorder="1" applyAlignment="1">
      <alignment horizontal="center"/>
    </xf>
    <xf numFmtId="0" fontId="0" fillId="0" borderId="2" xfId="0" applyBorder="1" applyAlignment="1">
      <alignment horizontal="left" indent="1"/>
    </xf>
    <xf numFmtId="171" fontId="0" fillId="0" borderId="0" xfId="27" applyFont="1" applyBorder="1" applyAlignment="1"/>
    <xf numFmtId="165" fontId="0" fillId="0" borderId="0" xfId="1" applyFont="1" applyBorder="1" applyAlignment="1" applyProtection="1"/>
    <xf numFmtId="165" fontId="0" fillId="0" borderId="0" xfId="1" applyFont="1" applyBorder="1" applyAlignment="1" applyProtection="1">
      <alignment horizontal="right"/>
    </xf>
    <xf numFmtId="165" fontId="0" fillId="0" borderId="4" xfId="1" applyFont="1" applyBorder="1" applyAlignment="1" applyProtection="1"/>
    <xf numFmtId="165" fontId="56" fillId="0" borderId="0" xfId="1" applyFont="1" applyBorder="1" applyAlignment="1" applyProtection="1"/>
    <xf numFmtId="0" fontId="0" fillId="0" borderId="2" xfId="0" applyBorder="1" applyAlignment="1"/>
    <xf numFmtId="49" fontId="33" fillId="0" borderId="0" xfId="22" applyBorder="1">
      <alignment horizontal="left" indent="1"/>
    </xf>
    <xf numFmtId="177" fontId="0" fillId="0" borderId="0" xfId="0" applyNumberFormat="1" applyBorder="1"/>
    <xf numFmtId="177" fontId="0" fillId="0" borderId="4" xfId="0" applyNumberFormat="1" applyBorder="1"/>
    <xf numFmtId="0" fontId="0" fillId="0" borderId="10" xfId="0" applyBorder="1" applyAlignment="1"/>
    <xf numFmtId="49" fontId="48" fillId="0" borderId="2" xfId="21" applyBorder="1">
      <alignment horizontal="center" wrapText="1"/>
    </xf>
    <xf numFmtId="0" fontId="49" fillId="0" borderId="2" xfId="0" applyFont="1" applyFill="1" applyBorder="1" applyAlignment="1">
      <alignment horizontal="right"/>
    </xf>
    <xf numFmtId="49" fontId="33" fillId="0" borderId="2" xfId="22" applyBorder="1" applyAlignment="1">
      <alignment horizontal="left" indent="1"/>
    </xf>
    <xf numFmtId="49" fontId="33" fillId="0" borderId="2" xfId="22" applyFill="1" applyBorder="1" applyAlignment="1">
      <alignment horizontal="left" indent="1"/>
    </xf>
    <xf numFmtId="165" fontId="0" fillId="0" borderId="0" xfId="1" applyFont="1" applyFill="1" applyBorder="1" applyAlignment="1" applyProtection="1">
      <alignment horizontal="right"/>
    </xf>
    <xf numFmtId="0" fontId="0" fillId="0" borderId="4" xfId="0" applyBorder="1" applyAlignment="1"/>
    <xf numFmtId="0" fontId="34" fillId="0" borderId="2" xfId="2" applyFill="1" applyBorder="1" applyAlignment="1">
      <alignment horizontal="left" indent="1"/>
    </xf>
    <xf numFmtId="0" fontId="48" fillId="0" borderId="31" xfId="21" applyNumberFormat="1" applyBorder="1">
      <alignment horizontal="center" wrapText="1"/>
    </xf>
    <xf numFmtId="165" fontId="33" fillId="0" borderId="31" xfId="1" applyFont="1" applyBorder="1" applyAlignment="1" applyProtection="1"/>
    <xf numFmtId="0" fontId="0" fillId="0" borderId="16" xfId="0" applyBorder="1"/>
    <xf numFmtId="0" fontId="0" fillId="0" borderId="35" xfId="0" applyBorder="1"/>
    <xf numFmtId="49" fontId="48" fillId="0" borderId="35" xfId="21" applyBorder="1" applyAlignment="1">
      <alignment horizontal="centerContinuous" wrapText="1"/>
    </xf>
    <xf numFmtId="0" fontId="0" fillId="0" borderId="16" xfId="0" applyBorder="1" applyAlignment="1">
      <alignment horizontal="centerContinuous"/>
    </xf>
    <xf numFmtId="0" fontId="38" fillId="3" borderId="0" xfId="28" applyFill="1" applyBorder="1">
      <alignment horizontal="left"/>
    </xf>
    <xf numFmtId="165" fontId="5" fillId="3" borderId="31" xfId="1" applyFont="1" applyFill="1" applyBorder="1" applyAlignment="1" applyProtection="1">
      <alignment horizontal="right"/>
    </xf>
    <xf numFmtId="0" fontId="38" fillId="3" borderId="0" xfId="6" applyFill="1" applyBorder="1"/>
    <xf numFmtId="0" fontId="38" fillId="3" borderId="0" xfId="6" applyBorder="1" applyAlignment="1" applyProtection="1">
      <alignment horizontal="left"/>
    </xf>
    <xf numFmtId="0" fontId="46" fillId="2" borderId="0" xfId="18" applyFill="1" applyBorder="1" applyProtection="1">
      <alignment horizontal="center" wrapText="1"/>
    </xf>
    <xf numFmtId="0" fontId="46" fillId="2" borderId="0" xfId="18" applyFill="1" applyBorder="1" applyAlignment="1" applyProtection="1">
      <alignment horizontal="centerContinuous" wrapText="1"/>
    </xf>
    <xf numFmtId="0" fontId="46" fillId="3" borderId="0" xfId="18" applyBorder="1" applyAlignment="1" applyProtection="1">
      <alignment horizontal="centerContinuous" wrapText="1"/>
    </xf>
    <xf numFmtId="0" fontId="46" fillId="3" borderId="0" xfId="18" applyBorder="1" applyAlignment="1" applyProtection="1">
      <alignment horizontal="center" wrapText="1"/>
    </xf>
    <xf numFmtId="0" fontId="38" fillId="3" borderId="0" xfId="6" applyFont="1" applyBorder="1" applyAlignment="1">
      <alignment horizontal="left" wrapText="1"/>
    </xf>
    <xf numFmtId="0" fontId="46" fillId="3" borderId="0" xfId="19" quotePrefix="1" applyFont="1" applyBorder="1" applyAlignment="1">
      <alignment horizontal="center" wrapText="1"/>
    </xf>
    <xf numFmtId="0" fontId="46" fillId="3" borderId="0" xfId="18" applyFont="1" applyBorder="1" applyAlignment="1">
      <alignment horizontal="center" wrapText="1"/>
    </xf>
    <xf numFmtId="0" fontId="38" fillId="3" borderId="0" xfId="6" applyFont="1" applyBorder="1" applyAlignment="1">
      <alignment horizontal="center"/>
    </xf>
    <xf numFmtId="0" fontId="16" fillId="3" borderId="0" xfId="6" applyFont="1" applyBorder="1" applyAlignment="1">
      <alignment horizontal="center" wrapText="1"/>
    </xf>
    <xf numFmtId="0" fontId="37" fillId="0" borderId="1" xfId="5" applyBorder="1" applyAlignment="1">
      <alignment horizontal="left" wrapText="1" indent="1"/>
      <protection locked="0"/>
    </xf>
    <xf numFmtId="0" fontId="46" fillId="3" borderId="0" xfId="19" applyBorder="1" applyAlignment="1">
      <alignment horizontal="center" wrapText="1"/>
    </xf>
    <xf numFmtId="0" fontId="38" fillId="3" borderId="0" xfId="6" applyBorder="1"/>
    <xf numFmtId="0" fontId="46" fillId="3" borderId="0" xfId="15" applyFont="1" applyBorder="1"/>
    <xf numFmtId="0" fontId="38" fillId="3" borderId="0" xfId="6" applyBorder="1" applyAlignment="1">
      <alignment horizontal="left" vertical="center" wrapText="1"/>
    </xf>
    <xf numFmtId="0" fontId="34" fillId="3" borderId="0" xfId="2" applyBorder="1"/>
    <xf numFmtId="0" fontId="46" fillId="3" borderId="0" xfId="19" quotePrefix="1" applyBorder="1">
      <alignment horizontal="center" wrapText="1"/>
    </xf>
    <xf numFmtId="0" fontId="38" fillId="3" borderId="0" xfId="6" applyBorder="1" applyAlignment="1">
      <alignment horizontal="center" vertical="center" wrapText="1"/>
    </xf>
    <xf numFmtId="0" fontId="38" fillId="3" borderId="0" xfId="6" applyFont="1" applyBorder="1" applyAlignment="1">
      <alignment horizontal="left"/>
    </xf>
    <xf numFmtId="0" fontId="46" fillId="3" borderId="0" xfId="19" applyFont="1" applyBorder="1" applyAlignment="1">
      <alignment horizontal="center" wrapText="1"/>
    </xf>
    <xf numFmtId="0" fontId="7" fillId="4" borderId="0" xfId="11" applyFont="1" applyBorder="1"/>
    <xf numFmtId="0" fontId="46" fillId="3" borderId="0" xfId="6" applyFont="1" applyBorder="1" applyAlignment="1">
      <alignment horizontal="center" wrapText="1"/>
    </xf>
    <xf numFmtId="0" fontId="38" fillId="3" borderId="0" xfId="6" applyBorder="1" applyAlignment="1"/>
    <xf numFmtId="0" fontId="0" fillId="4" borderId="0" xfId="11" applyFont="1" applyBorder="1" applyAlignment="1">
      <alignment horizontal="right"/>
    </xf>
    <xf numFmtId="165" fontId="5" fillId="2" borderId="31" xfId="1" applyFont="1" applyFill="1" applyBorder="1" applyAlignment="1" applyProtection="1">
      <alignment horizontal="right"/>
    </xf>
    <xf numFmtId="165" fontId="38" fillId="3" borderId="31" xfId="1" applyFont="1" applyFill="1" applyBorder="1" applyAlignment="1" applyProtection="1"/>
    <xf numFmtId="165" fontId="38" fillId="3" borderId="1" xfId="79" applyNumberFormat="1" applyBorder="1"/>
    <xf numFmtId="165" fontId="5" fillId="3" borderId="31" xfId="1" applyFont="1" applyFill="1" applyBorder="1" applyAlignment="1" applyProtection="1"/>
    <xf numFmtId="165" fontId="10" fillId="3" borderId="31" xfId="1" applyFont="1" applyFill="1" applyBorder="1" applyAlignment="1" applyProtection="1"/>
    <xf numFmtId="175" fontId="37" fillId="0" borderId="1" xfId="5" applyNumberFormat="1" applyBorder="1">
      <protection locked="0"/>
    </xf>
    <xf numFmtId="0" fontId="38" fillId="3" borderId="0" xfId="6" quotePrefix="1" applyBorder="1" applyAlignment="1"/>
    <xf numFmtId="165" fontId="10" fillId="2" borderId="31" xfId="1" applyFont="1" applyFill="1" applyBorder="1" applyAlignment="1" applyProtection="1"/>
    <xf numFmtId="0" fontId="37" fillId="0" borderId="1" xfId="5" applyBorder="1" applyAlignment="1">
      <alignment wrapText="1"/>
      <protection locked="0"/>
    </xf>
    <xf numFmtId="168" fontId="38" fillId="3" borderId="1" xfId="79" applyNumberFormat="1" applyBorder="1"/>
    <xf numFmtId="0" fontId="46" fillId="3" borderId="0" xfId="19" applyBorder="1" applyAlignment="1">
      <alignment horizontal="centerContinuous" wrapText="1"/>
    </xf>
    <xf numFmtId="165" fontId="38" fillId="3" borderId="31" xfId="80" applyNumberFormat="1" applyBorder="1"/>
    <xf numFmtId="165" fontId="5" fillId="2" borderId="31" xfId="1" applyFont="1" applyFill="1" applyBorder="1" applyAlignment="1" applyProtection="1"/>
    <xf numFmtId="165" fontId="10" fillId="3" borderId="31" xfId="1" applyFont="1" applyFill="1" applyBorder="1" applyAlignment="1" applyProtection="1">
      <alignment horizontal="right"/>
    </xf>
    <xf numFmtId="168" fontId="38" fillId="3" borderId="31" xfId="80" applyNumberFormat="1" applyBorder="1"/>
    <xf numFmtId="0" fontId="37" fillId="0" borderId="1" xfId="5" applyBorder="1" applyAlignment="1">
      <alignment horizontal="center" vertical="center" wrapText="1"/>
      <protection locked="0"/>
    </xf>
    <xf numFmtId="167" fontId="38" fillId="3" borderId="1" xfId="79" applyNumberFormat="1" applyBorder="1"/>
    <xf numFmtId="167" fontId="38" fillId="3" borderId="31" xfId="80" applyNumberFormat="1" applyBorder="1"/>
    <xf numFmtId="0" fontId="46" fillId="3" borderId="31" xfId="17" applyFont="1" applyBorder="1" applyAlignment="1">
      <alignment horizontal="right"/>
    </xf>
    <xf numFmtId="0" fontId="0" fillId="4" borderId="4" xfId="11" applyFont="1" applyBorder="1" applyAlignment="1">
      <alignment horizontal="right"/>
    </xf>
    <xf numFmtId="175" fontId="38" fillId="3" borderId="31" xfId="23" applyFont="1" applyBorder="1" applyAlignment="1"/>
    <xf numFmtId="170" fontId="38" fillId="3" borderId="31" xfId="80" applyNumberFormat="1" applyBorder="1"/>
    <xf numFmtId="166" fontId="38" fillId="3" borderId="31" xfId="80" applyNumberFormat="1" applyBorder="1"/>
    <xf numFmtId="165" fontId="37" fillId="0" borderId="1" xfId="5" applyNumberFormat="1" applyBorder="1">
      <protection locked="0"/>
    </xf>
    <xf numFmtId="166" fontId="38" fillId="3" borderId="1" xfId="79" applyNumberFormat="1" applyBorder="1"/>
    <xf numFmtId="169" fontId="38" fillId="3" borderId="1" xfId="79" applyNumberFormat="1" applyBorder="1"/>
    <xf numFmtId="176" fontId="0" fillId="0" borderId="0" xfId="24" applyNumberFormat="1" applyFont="1" applyFill="1" applyBorder="1" applyProtection="1"/>
    <xf numFmtId="176" fontId="0" fillId="0" borderId="4" xfId="24" applyNumberFormat="1" applyFont="1" applyFill="1" applyBorder="1" applyProtection="1"/>
    <xf numFmtId="174" fontId="0" fillId="0" borderId="0" xfId="24" applyFont="1" applyFill="1" applyBorder="1" applyProtection="1"/>
    <xf numFmtId="174" fontId="0" fillId="0" borderId="4" xfId="24" applyFont="1" applyFill="1" applyBorder="1" applyProtection="1"/>
    <xf numFmtId="49" fontId="33" fillId="0" borderId="0" xfId="22" applyFill="1" applyBorder="1">
      <alignment horizontal="left" indent="1"/>
    </xf>
    <xf numFmtId="165" fontId="37" fillId="0" borderId="1" xfId="1" applyFont="1" applyFill="1" applyBorder="1" applyAlignment="1">
      <protection locked="0"/>
    </xf>
    <xf numFmtId="0" fontId="0" fillId="0" borderId="0" xfId="0" applyFill="1" applyAlignment="1">
      <alignment horizontal="left"/>
    </xf>
    <xf numFmtId="0" fontId="0" fillId="5" borderId="32" xfId="0" applyFill="1" applyBorder="1"/>
    <xf numFmtId="0" fontId="0" fillId="5" borderId="33" xfId="0" applyFill="1" applyBorder="1"/>
    <xf numFmtId="0" fontId="0" fillId="5" borderId="34" xfId="0" applyFill="1" applyBorder="1"/>
    <xf numFmtId="0" fontId="13" fillId="5" borderId="2" xfId="0" applyFont="1" applyFill="1" applyBorder="1"/>
    <xf numFmtId="0" fontId="13" fillId="5" borderId="0" xfId="0" applyFont="1" applyFill="1" applyBorder="1"/>
    <xf numFmtId="0" fontId="13" fillId="5" borderId="4" xfId="0" applyFont="1" applyFill="1" applyBorder="1"/>
    <xf numFmtId="0" fontId="21" fillId="5" borderId="2" xfId="0" applyFont="1" applyFill="1" applyBorder="1" applyAlignment="1">
      <alignment horizontal="centerContinuous"/>
    </xf>
    <xf numFmtId="0" fontId="13" fillId="5" borderId="0" xfId="0" applyFont="1" applyFill="1" applyBorder="1" applyAlignment="1">
      <alignment horizontal="centerContinuous"/>
    </xf>
    <xf numFmtId="0" fontId="13" fillId="5" borderId="4" xfId="0" applyFont="1" applyFill="1" applyBorder="1" applyAlignment="1">
      <alignment horizontal="centerContinuous"/>
    </xf>
    <xf numFmtId="0" fontId="22" fillId="5" borderId="2" xfId="0" applyFont="1" applyFill="1" applyBorder="1" applyAlignment="1">
      <alignment horizontal="centerContinuous"/>
    </xf>
    <xf numFmtId="0" fontId="14" fillId="5" borderId="2" xfId="0" applyFont="1" applyFill="1" applyBorder="1" applyAlignment="1">
      <alignment horizontal="centerContinuous" vertical="center" wrapText="1"/>
    </xf>
    <xf numFmtId="0" fontId="15" fillId="5" borderId="0" xfId="0" applyFont="1" applyFill="1" applyBorder="1" applyAlignment="1">
      <alignment horizontal="left" vertical="top" indent="1"/>
    </xf>
    <xf numFmtId="0" fontId="0" fillId="5" borderId="0" xfId="0" applyFill="1" applyBorder="1"/>
    <xf numFmtId="0" fontId="15" fillId="5" borderId="2" xfId="0" applyFont="1" applyFill="1" applyBorder="1" applyAlignment="1">
      <alignment horizontal="centerContinuous"/>
    </xf>
    <xf numFmtId="0" fontId="6" fillId="5" borderId="0" xfId="0" applyFont="1" applyFill="1" applyBorder="1" applyAlignment="1">
      <alignment horizontal="centerContinuous"/>
    </xf>
    <xf numFmtId="0" fontId="16" fillId="5" borderId="2" xfId="0" applyFont="1" applyFill="1" applyBorder="1" applyAlignment="1">
      <alignment horizontal="centerContinuous"/>
    </xf>
    <xf numFmtId="0" fontId="13" fillId="5" borderId="9" xfId="0" applyFont="1" applyFill="1" applyBorder="1"/>
    <xf numFmtId="0" fontId="13" fillId="5" borderId="10" xfId="0" applyFont="1" applyFill="1" applyBorder="1"/>
    <xf numFmtId="0" fontId="13" fillId="5" borderId="4" xfId="0" applyFont="1" applyFill="1" applyBorder="1" applyAlignment="1"/>
    <xf numFmtId="0" fontId="13" fillId="5" borderId="11" xfId="0" applyFont="1" applyFill="1" applyBorder="1"/>
    <xf numFmtId="0" fontId="8" fillId="5" borderId="0" xfId="0" applyFont="1" applyFill="1" applyBorder="1"/>
    <xf numFmtId="0" fontId="13" fillId="5" borderId="6" xfId="0" applyFont="1" applyFill="1" applyBorder="1" applyAlignment="1"/>
    <xf numFmtId="0" fontId="13" fillId="5" borderId="7" xfId="0" applyFont="1" applyFill="1" applyBorder="1" applyAlignment="1"/>
    <xf numFmtId="0" fontId="13" fillId="5" borderId="7" xfId="0" applyFont="1" applyFill="1" applyBorder="1"/>
    <xf numFmtId="0" fontId="13" fillId="5" borderId="8" xfId="0" applyFont="1" applyFill="1" applyBorder="1"/>
    <xf numFmtId="0" fontId="19" fillId="5" borderId="0" xfId="0" applyFont="1" applyFill="1" applyBorder="1" applyAlignment="1"/>
    <xf numFmtId="0" fontId="8" fillId="5" borderId="2" xfId="0" applyFont="1" applyFill="1" applyBorder="1"/>
    <xf numFmtId="0" fontId="49" fillId="5" borderId="0" xfId="0" applyFont="1" applyFill="1" applyBorder="1"/>
    <xf numFmtId="49" fontId="0" fillId="5" borderId="0" xfId="0" applyNumberFormat="1" applyFill="1" applyBorder="1"/>
    <xf numFmtId="0" fontId="78" fillId="5" borderId="0" xfId="81" applyFill="1" applyBorder="1"/>
    <xf numFmtId="0" fontId="0" fillId="5" borderId="2" xfId="0" applyFill="1" applyBorder="1"/>
    <xf numFmtId="0" fontId="0" fillId="5" borderId="4" xfId="0" applyFill="1" applyBorder="1"/>
    <xf numFmtId="0" fontId="78" fillId="5" borderId="0" xfId="81" applyFill="1" applyBorder="1" applyAlignment="1">
      <alignment horizontal="left"/>
    </xf>
    <xf numFmtId="0" fontId="0" fillId="5" borderId="9" xfId="0" applyFill="1" applyBorder="1"/>
    <xf numFmtId="0" fontId="0" fillId="5" borderId="10" xfId="0" applyFill="1" applyBorder="1"/>
    <xf numFmtId="0" fontId="0" fillId="5" borderId="11" xfId="0" applyFill="1" applyBorder="1"/>
    <xf numFmtId="0" fontId="8" fillId="5" borderId="6" xfId="0" applyFont="1" applyFill="1" applyBorder="1" applyAlignment="1">
      <alignment horizontal="left" vertical="top" wrapText="1"/>
    </xf>
    <xf numFmtId="0" fontId="9" fillId="5" borderId="7" xfId="0" applyFont="1" applyFill="1" applyBorder="1" applyAlignment="1">
      <alignment vertical="top"/>
    </xf>
    <xf numFmtId="0" fontId="9" fillId="5" borderId="8" xfId="0" applyFont="1" applyFill="1" applyBorder="1" applyAlignment="1"/>
    <xf numFmtId="0" fontId="18" fillId="5" borderId="2" xfId="0" applyFont="1" applyFill="1" applyBorder="1" applyAlignment="1"/>
    <xf numFmtId="0" fontId="43" fillId="5" borderId="0" xfId="14" applyFill="1" applyBorder="1" applyAlignment="1">
      <alignment horizontal="left" vertical="top"/>
    </xf>
    <xf numFmtId="0" fontId="8" fillId="5" borderId="0" xfId="0" applyFont="1" applyFill="1" applyBorder="1" applyAlignment="1">
      <alignment horizontal="left" vertical="top" wrapText="1"/>
    </xf>
    <xf numFmtId="0" fontId="0" fillId="5" borderId="0" xfId="0" applyNumberFormat="1" applyFill="1" applyBorder="1" applyAlignment="1">
      <alignment horizontal="left" vertical="top"/>
    </xf>
    <xf numFmtId="0" fontId="54" fillId="5" borderId="0" xfId="14" applyFont="1" applyFill="1" applyBorder="1" applyAlignment="1">
      <alignment horizontal="left" vertical="top"/>
    </xf>
    <xf numFmtId="0" fontId="5" fillId="5" borderId="0" xfId="0" applyFont="1" applyFill="1" applyBorder="1" applyAlignment="1">
      <alignment horizontal="left" vertical="top" wrapText="1"/>
    </xf>
    <xf numFmtId="0" fontId="13" fillId="5" borderId="9" xfId="0" applyFont="1" applyFill="1" applyBorder="1" applyAlignment="1"/>
    <xf numFmtId="0" fontId="13" fillId="5" borderId="10" xfId="0" applyFont="1" applyFill="1" applyBorder="1" applyAlignment="1"/>
    <xf numFmtId="0" fontId="13" fillId="5" borderId="11" xfId="0" applyFont="1" applyFill="1" applyBorder="1" applyAlignment="1"/>
    <xf numFmtId="178" fontId="38" fillId="3" borderId="1" xfId="82" applyNumberFormat="1" applyBorder="1" applyAlignment="1">
      <alignment horizontal="left"/>
    </xf>
    <xf numFmtId="0" fontId="38" fillId="3" borderId="0" xfId="6" applyBorder="1" applyAlignment="1"/>
    <xf numFmtId="0" fontId="0" fillId="0" borderId="0" xfId="0" applyAlignment="1">
      <alignment horizontal="left"/>
    </xf>
    <xf numFmtId="0" fontId="0" fillId="0" borderId="0" xfId="0" applyFill="1" applyAlignment="1" applyProtection="1">
      <alignment horizontal="left" indent="1"/>
      <protection locked="0"/>
    </xf>
    <xf numFmtId="0" fontId="34" fillId="2" borderId="0" xfId="6" applyFont="1" applyFill="1" applyBorder="1" applyAlignment="1">
      <alignment horizontal="left"/>
    </xf>
    <xf numFmtId="0" fontId="34" fillId="2" borderId="0" xfId="6" applyFont="1" applyFill="1" applyBorder="1" applyAlignment="1">
      <alignment horizontal="left" wrapText="1"/>
    </xf>
    <xf numFmtId="0" fontId="34" fillId="3" borderId="0" xfId="6" applyFont="1" applyBorder="1" applyAlignment="1">
      <alignment horizontal="left" wrapText="1"/>
    </xf>
    <xf numFmtId="0" fontId="0" fillId="0" borderId="0" xfId="0" applyAlignment="1">
      <alignment horizontal="left" indent="1"/>
    </xf>
    <xf numFmtId="0" fontId="38" fillId="3" borderId="0" xfId="6" applyBorder="1"/>
    <xf numFmtId="0" fontId="7" fillId="4" borderId="0" xfId="11" applyFont="1" applyBorder="1"/>
    <xf numFmtId="0" fontId="38" fillId="3" borderId="0" xfId="6" applyBorder="1" applyAlignment="1"/>
    <xf numFmtId="0" fontId="40" fillId="4" borderId="2" xfId="9" applyBorder="1" applyAlignment="1">
      <alignment horizontal="left" indent="1"/>
    </xf>
    <xf numFmtId="0" fontId="13" fillId="4" borderId="33" xfId="11" applyFont="1" applyBorder="1" applyAlignment="1"/>
    <xf numFmtId="0" fontId="13" fillId="4" borderId="34" xfId="11" applyFont="1" applyBorder="1" applyAlignment="1"/>
    <xf numFmtId="0" fontId="13" fillId="4" borderId="34" xfId="11" applyFont="1" applyBorder="1"/>
    <xf numFmtId="0" fontId="13" fillId="4" borderId="33" xfId="11" applyFont="1" applyBorder="1"/>
    <xf numFmtId="0" fontId="7" fillId="4" borderId="34" xfId="11" applyFont="1" applyBorder="1"/>
    <xf numFmtId="0" fontId="7" fillId="4" borderId="33" xfId="11" applyFont="1" applyBorder="1"/>
    <xf numFmtId="0" fontId="17" fillId="4" borderId="34" xfId="11" applyFont="1" applyBorder="1"/>
    <xf numFmtId="0" fontId="7" fillId="4" borderId="33" xfId="11" applyFont="1" applyBorder="1" applyAlignment="1"/>
    <xf numFmtId="0" fontId="13" fillId="4" borderId="32" xfId="11" applyFont="1" applyBorder="1" applyAlignment="1"/>
    <xf numFmtId="0" fontId="7" fillId="4" borderId="32" xfId="11" applyFont="1" applyBorder="1"/>
    <xf numFmtId="165" fontId="5" fillId="3" borderId="36" xfId="1" applyFont="1" applyFill="1" applyBorder="1" applyAlignment="1" applyProtection="1">
      <alignment horizontal="right"/>
    </xf>
    <xf numFmtId="0" fontId="38" fillId="3" borderId="0" xfId="6" applyBorder="1" applyAlignment="1"/>
    <xf numFmtId="174" fontId="5" fillId="3" borderId="36" xfId="24" applyFont="1" applyFill="1" applyBorder="1" applyAlignment="1" applyProtection="1">
      <alignment horizontal="right"/>
    </xf>
    <xf numFmtId="174" fontId="37" fillId="0" borderId="36" xfId="24" applyFont="1" applyBorder="1">
      <protection locked="0"/>
    </xf>
    <xf numFmtId="174" fontId="5" fillId="3" borderId="13" xfId="24" applyFont="1" applyFill="1" applyBorder="1" applyAlignment="1" applyProtection="1">
      <alignment horizontal="right"/>
    </xf>
    <xf numFmtId="174" fontId="37" fillId="0" borderId="13" xfId="24" applyFont="1" applyBorder="1">
      <protection locked="0"/>
    </xf>
    <xf numFmtId="0" fontId="46" fillId="3" borderId="10" xfId="18" applyFont="1" applyBorder="1" applyAlignment="1">
      <alignment horizontal="centerContinuous" wrapText="1"/>
    </xf>
    <xf numFmtId="0" fontId="38" fillId="3" borderId="0" xfId="6" applyBorder="1" applyAlignment="1"/>
    <xf numFmtId="0" fontId="16" fillId="3" borderId="0" xfId="6" applyFont="1" applyBorder="1" applyAlignment="1">
      <alignment horizontal="centerContinuous" wrapText="1"/>
    </xf>
    <xf numFmtId="0" fontId="46" fillId="3" borderId="0" xfId="19" quotePrefix="1" applyFont="1" applyBorder="1" applyAlignment="1">
      <alignment horizontal="centerContinuous" wrapText="1"/>
    </xf>
    <xf numFmtId="0" fontId="34" fillId="3" borderId="12" xfId="6" applyFont="1" applyBorder="1" applyAlignment="1" applyProtection="1">
      <protection locked="0"/>
    </xf>
    <xf numFmtId="0" fontId="34" fillId="3" borderId="12" xfId="26" applyBorder="1" applyProtection="1">
      <alignment horizontal="right"/>
      <protection locked="0"/>
    </xf>
    <xf numFmtId="175" fontId="38" fillId="3" borderId="1" xfId="23" applyFont="1" applyFill="1" applyBorder="1" applyAlignment="1" applyProtection="1"/>
    <xf numFmtId="0" fontId="38" fillId="3" borderId="0" xfId="6" applyBorder="1"/>
    <xf numFmtId="0" fontId="7" fillId="4" borderId="0" xfId="11" applyFont="1" applyBorder="1"/>
    <xf numFmtId="0" fontId="38" fillId="3" borderId="0" xfId="6" applyBorder="1" applyAlignment="1"/>
    <xf numFmtId="0" fontId="23" fillId="0" borderId="40" xfId="29" applyNumberFormat="1" applyFont="1" applyFill="1" applyBorder="1" applyAlignment="1" applyProtection="1">
      <alignment horizontal="left" wrapText="1" indent="1"/>
      <protection locked="0"/>
    </xf>
    <xf numFmtId="172" fontId="23" fillId="0" borderId="40" xfId="7" applyFont="1" applyFill="1" applyBorder="1" applyAlignment="1" applyProtection="1">
      <alignment horizontal="left" indent="1"/>
      <protection locked="0"/>
    </xf>
    <xf numFmtId="174" fontId="36" fillId="0" borderId="31" xfId="24" applyFont="1" applyFill="1" applyBorder="1" applyAlignment="1" applyProtection="1">
      <alignment horizontal="right"/>
      <protection locked="0"/>
    </xf>
    <xf numFmtId="174" fontId="36" fillId="0" borderId="13" xfId="24" applyFont="1" applyFill="1" applyBorder="1" applyAlignment="1" applyProtection="1">
      <alignment horizontal="right"/>
      <protection locked="0"/>
    </xf>
    <xf numFmtId="174" fontId="36" fillId="0" borderId="36" xfId="24" applyFont="1" applyFill="1" applyBorder="1" applyAlignment="1" applyProtection="1">
      <alignment horizontal="right"/>
      <protection locked="0"/>
    </xf>
    <xf numFmtId="174" fontId="37" fillId="0" borderId="13" xfId="24" applyFont="1" applyBorder="1" applyProtection="1">
      <protection locked="0"/>
    </xf>
    <xf numFmtId="174" fontId="37" fillId="0" borderId="36" xfId="24" applyFont="1" applyBorder="1" applyProtection="1">
      <protection locked="0"/>
    </xf>
    <xf numFmtId="0" fontId="79" fillId="0" borderId="0" xfId="0" applyFont="1" applyAlignment="1">
      <alignment horizontal="left" indent="2"/>
    </xf>
    <xf numFmtId="165" fontId="37" fillId="0" borderId="36" xfId="1" applyFont="1" applyFill="1" applyBorder="1" applyAlignment="1">
      <protection locked="0"/>
    </xf>
    <xf numFmtId="165" fontId="37" fillId="0" borderId="36" xfId="1" applyFont="1" applyBorder="1" applyAlignment="1" applyProtection="1">
      <protection locked="0"/>
    </xf>
    <xf numFmtId="165" fontId="37" fillId="0" borderId="36" xfId="1" applyFont="1" applyBorder="1" applyAlignment="1">
      <protection locked="0"/>
    </xf>
    <xf numFmtId="0" fontId="80" fillId="0" borderId="36" xfId="5" applyFont="1" applyBorder="1" applyAlignment="1" applyProtection="1">
      <alignment wrapText="1"/>
      <protection locked="0"/>
    </xf>
    <xf numFmtId="0" fontId="37" fillId="0" borderId="36" xfId="5" applyBorder="1" applyProtection="1">
      <protection locked="0"/>
    </xf>
    <xf numFmtId="0" fontId="37" fillId="0" borderId="36" xfId="5" applyBorder="1" applyAlignment="1">
      <alignment wrapText="1"/>
      <protection locked="0"/>
    </xf>
    <xf numFmtId="0" fontId="37" fillId="0" borderId="36" xfId="5" applyBorder="1" applyAlignment="1" applyProtection="1">
      <alignment wrapText="1"/>
      <protection locked="0"/>
    </xf>
    <xf numFmtId="0" fontId="78" fillId="0" borderId="0" xfId="81" applyFill="1"/>
    <xf numFmtId="0" fontId="37" fillId="0" borderId="36" xfId="5" applyBorder="1" applyAlignment="1">
      <alignment horizontal="left" indent="1"/>
      <protection locked="0"/>
    </xf>
    <xf numFmtId="0" fontId="37" fillId="0" borderId="36" xfId="5" applyBorder="1" applyAlignment="1" applyProtection="1">
      <alignment horizontal="left" indent="1"/>
      <protection locked="0"/>
    </xf>
    <xf numFmtId="0" fontId="37" fillId="0" borderId="36" xfId="5" applyBorder="1" applyAlignment="1">
      <alignment horizontal="center" vertical="center" wrapText="1"/>
      <protection locked="0"/>
    </xf>
    <xf numFmtId="165" fontId="38" fillId="3" borderId="36" xfId="79" applyNumberFormat="1" applyBorder="1"/>
    <xf numFmtId="167" fontId="37" fillId="0" borderId="36" xfId="75" applyFont="1" applyBorder="1" applyAlignment="1">
      <protection locked="0"/>
    </xf>
    <xf numFmtId="167" fontId="38" fillId="3" borderId="36" xfId="79" applyNumberFormat="1" applyBorder="1"/>
    <xf numFmtId="0" fontId="37" fillId="0" borderId="36" xfId="5" applyBorder="1" applyAlignment="1">
      <alignment horizontal="left" wrapText="1" indent="1"/>
      <protection locked="0"/>
    </xf>
    <xf numFmtId="165" fontId="37" fillId="0" borderId="36" xfId="1" applyFont="1" applyBorder="1" applyAlignment="1" applyProtection="1">
      <alignment horizontal="center" wrapText="1"/>
      <protection locked="0"/>
    </xf>
    <xf numFmtId="165" fontId="37" fillId="5" borderId="36" xfId="1" applyFont="1" applyFill="1" applyBorder="1" applyAlignment="1">
      <protection locked="0"/>
    </xf>
    <xf numFmtId="0" fontId="37" fillId="0" borderId="36" xfId="5" applyBorder="1" applyAlignment="1">
      <alignment horizontal="center" wrapText="1"/>
      <protection locked="0"/>
    </xf>
    <xf numFmtId="166" fontId="37" fillId="0" borderId="36" xfId="73" applyFont="1" applyFill="1" applyBorder="1" applyAlignment="1" applyProtection="1">
      <protection locked="0"/>
    </xf>
    <xf numFmtId="166" fontId="37" fillId="0" borderId="36" xfId="73" applyFont="1" applyFill="1" applyBorder="1" applyProtection="1">
      <protection locked="0"/>
    </xf>
    <xf numFmtId="169" fontId="37" fillId="0" borderId="36" xfId="74" applyFont="1" applyFill="1" applyBorder="1" applyProtection="1">
      <protection locked="0"/>
    </xf>
    <xf numFmtId="0" fontId="37" fillId="0" borderId="36" xfId="5" applyBorder="1" applyAlignment="1" applyProtection="1">
      <alignment horizontal="left" wrapText="1" indent="1"/>
      <protection locked="0"/>
    </xf>
    <xf numFmtId="165" fontId="37" fillId="0" borderId="36" xfId="1" applyFont="1" applyFill="1" applyBorder="1" applyAlignment="1">
      <alignment horizontal="left" indent="1"/>
      <protection locked="0"/>
    </xf>
    <xf numFmtId="165" fontId="37" fillId="0" borderId="36" xfId="1" applyFont="1" applyBorder="1" applyAlignment="1">
      <alignment horizontal="left" indent="1"/>
      <protection locked="0"/>
    </xf>
    <xf numFmtId="0" fontId="62" fillId="0" borderId="0" xfId="81" applyFont="1" applyFill="1"/>
    <xf numFmtId="165" fontId="37" fillId="0" borderId="1" xfId="1" applyFont="1" applyBorder="1" applyAlignment="1">
      <alignment horizontal="right"/>
      <protection locked="0"/>
    </xf>
    <xf numFmtId="165" fontId="37" fillId="0" borderId="1" xfId="1" applyFont="1" applyBorder="1" applyAlignment="1" applyProtection="1">
      <alignment horizontal="right"/>
      <protection locked="0"/>
    </xf>
    <xf numFmtId="0" fontId="78" fillId="0" borderId="0" xfId="81"/>
    <xf numFmtId="175" fontId="38" fillId="0" borderId="1" xfId="79" applyNumberFormat="1" applyFill="1" applyBorder="1"/>
    <xf numFmtId="0" fontId="42" fillId="4" borderId="2" xfId="12" applyFont="1" applyBorder="1" applyAlignment="1">
      <alignment horizontal="left" vertical="top" wrapText="1" indent="1"/>
    </xf>
    <xf numFmtId="0" fontId="42" fillId="0" borderId="0" xfId="0" applyFont="1" applyBorder="1" applyAlignment="1">
      <alignment horizontal="left" indent="1"/>
    </xf>
    <xf numFmtId="0" fontId="35" fillId="4" borderId="1" xfId="4" applyBorder="1">
      <alignment horizontal="center"/>
    </xf>
    <xf numFmtId="172" fontId="35" fillId="4" borderId="1" xfId="7" applyFont="1" applyFill="1" applyBorder="1" applyAlignment="1" applyProtection="1">
      <alignment horizontal="center" vertical="center"/>
    </xf>
    <xf numFmtId="0" fontId="42" fillId="4" borderId="0" xfId="12" applyFont="1" applyBorder="1" applyAlignment="1">
      <alignment horizontal="left" vertical="top" wrapText="1" indent="1"/>
    </xf>
    <xf numFmtId="0" fontId="35" fillId="4" borderId="18" xfId="4" applyBorder="1" applyAlignment="1">
      <alignment horizontal="center"/>
    </xf>
    <xf numFmtId="0" fontId="35" fillId="4" borderId="19" xfId="4" applyBorder="1" applyAlignment="1">
      <alignment horizontal="center"/>
    </xf>
    <xf numFmtId="0" fontId="35" fillId="4" borderId="20" xfId="4" applyBorder="1" applyAlignment="1">
      <alignment horizontal="center"/>
    </xf>
    <xf numFmtId="0" fontId="42" fillId="7" borderId="2" xfId="12" applyFont="1" applyFill="1" applyBorder="1" applyAlignment="1">
      <alignment horizontal="left" vertical="top" wrapText="1" indent="1"/>
    </xf>
    <xf numFmtId="0" fontId="42" fillId="7" borderId="0" xfId="12" applyFont="1" applyFill="1" applyBorder="1" applyAlignment="1">
      <alignment horizontal="left" vertical="top" wrapText="1" indent="1"/>
    </xf>
    <xf numFmtId="172" fontId="35" fillId="4" borderId="18" xfId="7" applyFont="1" applyFill="1" applyBorder="1" applyAlignment="1" applyProtection="1">
      <alignment horizontal="center" vertical="center"/>
    </xf>
    <xf numFmtId="172" fontId="35" fillId="4" borderId="19" xfId="7" applyFont="1" applyFill="1" applyBorder="1" applyAlignment="1" applyProtection="1">
      <alignment horizontal="center" vertical="center"/>
    </xf>
    <xf numFmtId="172" fontId="35" fillId="4" borderId="20" xfId="7" applyFont="1" applyFill="1" applyBorder="1" applyAlignment="1" applyProtection="1">
      <alignment horizontal="center" vertical="center"/>
    </xf>
    <xf numFmtId="0" fontId="34" fillId="3" borderId="0" xfId="6" applyFont="1" applyBorder="1" applyAlignment="1">
      <alignment horizontal="left" wrapText="1"/>
    </xf>
    <xf numFmtId="0" fontId="0" fillId="0" borderId="0" xfId="0" applyAlignment="1">
      <alignment wrapText="1"/>
    </xf>
    <xf numFmtId="0" fontId="37" fillId="0" borderId="37" xfId="5" applyBorder="1" applyAlignment="1">
      <alignment wrapText="1"/>
      <protection locked="0"/>
    </xf>
    <xf numFmtId="0" fontId="0" fillId="0" borderId="38" xfId="0" applyBorder="1" applyAlignment="1">
      <alignment wrapText="1"/>
    </xf>
    <xf numFmtId="0" fontId="0" fillId="0" borderId="39" xfId="0" applyBorder="1" applyAlignment="1">
      <alignment wrapText="1"/>
    </xf>
    <xf numFmtId="165" fontId="37" fillId="0" borderId="37" xfId="1" applyFont="1" applyBorder="1" applyAlignment="1">
      <alignment wrapText="1"/>
      <protection locked="0"/>
    </xf>
    <xf numFmtId="0" fontId="42" fillId="4" borderId="4" xfId="12" applyFont="1" applyBorder="1" applyAlignment="1">
      <alignment horizontal="left" vertical="top" wrapText="1" indent="1"/>
    </xf>
    <xf numFmtId="0" fontId="11" fillId="2" borderId="0" xfId="8" applyFont="1" applyFill="1" applyBorder="1" applyAlignment="1">
      <alignment horizontal="left" vertical="center" wrapText="1"/>
    </xf>
    <xf numFmtId="0" fontId="46" fillId="3" borderId="0" xfId="18" applyFont="1" applyBorder="1" applyAlignment="1">
      <alignment horizontal="center" wrapText="1"/>
    </xf>
    <xf numFmtId="0" fontId="49" fillId="0" borderId="0" xfId="0" applyFont="1" applyAlignment="1">
      <alignment horizontal="center" wrapText="1"/>
    </xf>
    <xf numFmtId="0" fontId="38" fillId="3" borderId="0" xfId="6" applyFont="1" applyBorder="1" applyAlignment="1">
      <alignment horizontal="center"/>
    </xf>
    <xf numFmtId="0" fontId="46" fillId="3" borderId="0" xfId="18" applyFont="1" applyBorder="1">
      <alignment horizontal="center" wrapText="1"/>
    </xf>
    <xf numFmtId="0" fontId="46" fillId="3" borderId="0" xfId="18" applyFont="1" applyBorder="1" applyAlignment="1">
      <alignment horizontal="center" vertical="center" wrapText="1"/>
    </xf>
    <xf numFmtId="0" fontId="16" fillId="3" borderId="0" xfId="6" applyFont="1" applyBorder="1" applyAlignment="1">
      <alignment horizontal="center"/>
    </xf>
    <xf numFmtId="0" fontId="34" fillId="2" borderId="0" xfId="28" applyFont="1" applyFill="1" applyBorder="1" applyAlignment="1">
      <alignment horizontal="left" wrapText="1"/>
    </xf>
    <xf numFmtId="0" fontId="42" fillId="4" borderId="2" xfId="12" applyBorder="1" applyAlignment="1">
      <alignment horizontal="left" vertical="top" wrapText="1" indent="1"/>
    </xf>
    <xf numFmtId="0" fontId="42" fillId="4" borderId="0" xfId="12" applyBorder="1" applyAlignment="1">
      <alignment horizontal="left" vertical="top" wrapText="1" indent="1"/>
    </xf>
    <xf numFmtId="0" fontId="37" fillId="0" borderId="37" xfId="5" applyBorder="1" applyAlignment="1">
      <alignment horizontal="left" wrapText="1" indent="1"/>
      <protection locked="0"/>
    </xf>
    <xf numFmtId="0" fontId="0" fillId="0" borderId="38" xfId="0" applyBorder="1" applyAlignment="1">
      <alignment horizontal="left" wrapText="1" indent="1"/>
    </xf>
    <xf numFmtId="0" fontId="0" fillId="0" borderId="39" xfId="0" applyBorder="1" applyAlignment="1">
      <alignment horizontal="left" wrapText="1" indent="1"/>
    </xf>
    <xf numFmtId="0" fontId="46" fillId="3" borderId="10" xfId="19" applyBorder="1">
      <alignment horizontal="center" wrapText="1"/>
    </xf>
    <xf numFmtId="0" fontId="46" fillId="3" borderId="0" xfId="19" applyBorder="1" applyAlignment="1">
      <alignment horizontal="center" wrapText="1"/>
    </xf>
    <xf numFmtId="0" fontId="38" fillId="3" borderId="0" xfId="6" applyBorder="1"/>
    <xf numFmtId="0" fontId="46" fillId="3" borderId="0" xfId="15" applyFont="1" applyBorder="1"/>
    <xf numFmtId="0" fontId="38" fillId="3" borderId="0" xfId="6" applyBorder="1" applyAlignment="1">
      <alignment horizontal="left" vertical="center" wrapText="1"/>
    </xf>
    <xf numFmtId="0" fontId="34" fillId="3" borderId="0" xfId="2" applyBorder="1"/>
    <xf numFmtId="0" fontId="37" fillId="0" borderId="32" xfId="5" applyNumberFormat="1" applyBorder="1" applyAlignment="1" applyProtection="1">
      <alignment vertical="top" wrapText="1"/>
      <protection locked="0"/>
    </xf>
    <xf numFmtId="0" fontId="37" fillId="0" borderId="33" xfId="5" applyNumberFormat="1" applyBorder="1" applyAlignment="1" applyProtection="1">
      <alignment vertical="top" wrapText="1"/>
      <protection locked="0"/>
    </xf>
    <xf numFmtId="0" fontId="37" fillId="0" borderId="34" xfId="5" applyNumberFormat="1" applyBorder="1" applyAlignment="1" applyProtection="1">
      <alignment vertical="top" wrapText="1"/>
      <protection locked="0"/>
    </xf>
    <xf numFmtId="0" fontId="37" fillId="0" borderId="9" xfId="5" applyNumberFormat="1" applyBorder="1" applyAlignment="1" applyProtection="1">
      <alignment vertical="top" wrapText="1"/>
      <protection locked="0"/>
    </xf>
    <xf numFmtId="0" fontId="37" fillId="0" borderId="10" xfId="5" applyNumberFormat="1" applyBorder="1" applyAlignment="1" applyProtection="1">
      <alignment vertical="top" wrapText="1"/>
      <protection locked="0"/>
    </xf>
    <xf numFmtId="0" fontId="37" fillId="0" borderId="11" xfId="5" applyNumberFormat="1" applyBorder="1" applyAlignment="1" applyProtection="1">
      <alignment vertical="top" wrapText="1"/>
      <protection locked="0"/>
    </xf>
    <xf numFmtId="0" fontId="46" fillId="3" borderId="0" xfId="19" quotePrefix="1" applyBorder="1">
      <alignment horizontal="center" wrapText="1"/>
    </xf>
    <xf numFmtId="0" fontId="34" fillId="3" borderId="0" xfId="6" applyFont="1" applyBorder="1" applyAlignment="1">
      <alignment horizontal="left"/>
    </xf>
    <xf numFmtId="0" fontId="37" fillId="0" borderId="32" xfId="5" applyBorder="1" applyAlignment="1" applyProtection="1">
      <alignment horizontal="left" vertical="top" wrapText="1"/>
      <protection locked="0"/>
    </xf>
    <xf numFmtId="0" fontId="37" fillId="0" borderId="33" xfId="5" applyBorder="1" applyAlignment="1" applyProtection="1">
      <alignment horizontal="left" vertical="top" wrapText="1"/>
      <protection locked="0"/>
    </xf>
    <xf numFmtId="0" fontId="37" fillId="0" borderId="34" xfId="5" applyBorder="1" applyAlignment="1" applyProtection="1">
      <alignment horizontal="left" vertical="top" wrapText="1"/>
      <protection locked="0"/>
    </xf>
    <xf numFmtId="0" fontId="37" fillId="0" borderId="9" xfId="5" applyBorder="1" applyAlignment="1" applyProtection="1">
      <alignment horizontal="left" vertical="top" wrapText="1"/>
      <protection locked="0"/>
    </xf>
    <xf numFmtId="0" fontId="37" fillId="0" borderId="10" xfId="5" applyBorder="1" applyAlignment="1" applyProtection="1">
      <alignment horizontal="left" vertical="top" wrapText="1"/>
      <protection locked="0"/>
    </xf>
    <xf numFmtId="0" fontId="37" fillId="0" borderId="11" xfId="5" applyBorder="1" applyAlignment="1" applyProtection="1">
      <alignment horizontal="left" vertical="top" wrapText="1"/>
      <protection locked="0"/>
    </xf>
    <xf numFmtId="0" fontId="38" fillId="3" borderId="0" xfId="6" applyFont="1" applyBorder="1" applyAlignment="1">
      <alignment horizontal="left"/>
    </xf>
    <xf numFmtId="0" fontId="46" fillId="3" borderId="0" xfId="19" quotePrefix="1" applyFont="1" applyBorder="1" applyAlignment="1">
      <alignment horizontal="center" wrapText="1"/>
    </xf>
    <xf numFmtId="0" fontId="46" fillId="3" borderId="21" xfId="19" quotePrefix="1" applyFont="1" applyBorder="1" applyAlignment="1">
      <alignment horizontal="center" wrapText="1"/>
    </xf>
    <xf numFmtId="0" fontId="0" fillId="0" borderId="0" xfId="0" applyBorder="1" applyAlignment="1">
      <alignment horizontal="left" indent="1"/>
    </xf>
    <xf numFmtId="0" fontId="34" fillId="2" borderId="0" xfId="8" applyFont="1" applyFill="1" applyBorder="1" applyAlignment="1">
      <alignment horizontal="left" wrapText="1"/>
    </xf>
    <xf numFmtId="0" fontId="35" fillId="4" borderId="38" xfId="4" applyBorder="1" applyAlignment="1">
      <alignment horizontal="center"/>
    </xf>
    <xf numFmtId="172" fontId="35" fillId="4" borderId="36" xfId="7" applyFont="1" applyFill="1" applyBorder="1" applyAlignment="1" applyProtection="1">
      <alignment horizontal="center" vertical="center"/>
    </xf>
    <xf numFmtId="0" fontId="35" fillId="0" borderId="1" xfId="4" applyFill="1" applyBorder="1">
      <alignment horizontal="center"/>
    </xf>
    <xf numFmtId="0" fontId="35" fillId="0" borderId="36" xfId="4" applyFill="1" applyBorder="1">
      <alignment horizontal="center"/>
    </xf>
    <xf numFmtId="0" fontId="46" fillId="3" borderId="0" xfId="19" applyFont="1" applyBorder="1" applyAlignment="1">
      <alignment horizontal="center" wrapText="1"/>
    </xf>
    <xf numFmtId="0" fontId="34" fillId="3" borderId="0" xfId="3" applyFont="1" applyBorder="1" applyAlignment="1">
      <alignment horizontal="center" wrapText="1"/>
    </xf>
    <xf numFmtId="0" fontId="7" fillId="4" borderId="0" xfId="11" applyFont="1" applyBorder="1"/>
    <xf numFmtId="0" fontId="46" fillId="3" borderId="0" xfId="6" applyFont="1" applyBorder="1" applyAlignment="1">
      <alignment horizontal="center" vertical="center" wrapText="1"/>
    </xf>
    <xf numFmtId="0" fontId="46" fillId="3" borderId="4" xfId="6" applyFont="1" applyBorder="1" applyAlignment="1">
      <alignment horizontal="center" vertical="center" wrapText="1"/>
    </xf>
    <xf numFmtId="0" fontId="46" fillId="3" borderId="0" xfId="6" applyFont="1" applyBorder="1" applyAlignment="1">
      <alignment horizontal="right" vertical="center" wrapText="1"/>
    </xf>
    <xf numFmtId="0" fontId="46" fillId="3" borderId="4" xfId="6" applyFont="1" applyBorder="1" applyAlignment="1">
      <alignment horizontal="right" vertical="center" wrapText="1"/>
    </xf>
    <xf numFmtId="0" fontId="35" fillId="4" borderId="1" xfId="4" applyBorder="1" applyAlignment="1">
      <alignment horizontal="center"/>
    </xf>
    <xf numFmtId="0" fontId="35" fillId="4" borderId="36" xfId="4" applyBorder="1" applyAlignment="1">
      <alignment horizontal="center"/>
    </xf>
    <xf numFmtId="0" fontId="46" fillId="3" borderId="0" xfId="6" applyFont="1" applyBorder="1" applyAlignment="1">
      <alignment horizontal="center" wrapText="1"/>
    </xf>
    <xf numFmtId="0" fontId="42" fillId="4" borderId="4" xfId="12" applyBorder="1" applyAlignment="1">
      <alignment horizontal="left" vertical="top" wrapText="1" indent="1"/>
    </xf>
    <xf numFmtId="0" fontId="35" fillId="4" borderId="18" xfId="4" applyBorder="1" applyAlignment="1">
      <alignment horizontal="center" wrapText="1"/>
    </xf>
    <xf numFmtId="0" fontId="35" fillId="4" borderId="20" xfId="4" applyBorder="1" applyAlignment="1">
      <alignment horizontal="center" wrapText="1"/>
    </xf>
    <xf numFmtId="172" fontId="35" fillId="4" borderId="18" xfId="7" applyFont="1" applyFill="1" applyBorder="1" applyAlignment="1" applyProtection="1">
      <alignment horizontal="center" vertical="center" wrapText="1"/>
    </xf>
    <xf numFmtId="172" fontId="35" fillId="4" borderId="20" xfId="7" applyFont="1" applyFill="1" applyBorder="1" applyAlignment="1" applyProtection="1">
      <alignment horizontal="center" vertical="center" wrapText="1"/>
    </xf>
    <xf numFmtId="0" fontId="34" fillId="3" borderId="0" xfId="8" applyFont="1" applyBorder="1" applyAlignment="1">
      <alignment horizontal="left" vertical="top" wrapText="1"/>
    </xf>
    <xf numFmtId="0" fontId="40" fillId="4" borderId="2" xfId="9" applyBorder="1" applyAlignment="1">
      <alignment horizontal="left" indent="1"/>
    </xf>
    <xf numFmtId="0" fontId="40" fillId="4" borderId="0" xfId="9" applyBorder="1" applyAlignment="1">
      <alignment horizontal="left" indent="1"/>
    </xf>
    <xf numFmtId="0" fontId="40" fillId="4" borderId="4" xfId="9" applyBorder="1" applyAlignment="1">
      <alignment horizontal="left" indent="1"/>
    </xf>
    <xf numFmtId="0" fontId="37" fillId="0" borderId="37" xfId="5" applyNumberFormat="1" applyBorder="1" applyAlignment="1">
      <alignment wrapText="1"/>
      <protection locked="0"/>
    </xf>
    <xf numFmtId="0" fontId="46" fillId="3" borderId="0" xfId="19" applyBorder="1" applyAlignment="1">
      <alignment horizontal="center" vertical="center" wrapText="1"/>
    </xf>
    <xf numFmtId="0" fontId="46" fillId="3" borderId="10" xfId="19" applyBorder="1" applyAlignment="1">
      <alignment horizontal="center" vertical="center" wrapText="1"/>
    </xf>
    <xf numFmtId="0" fontId="38" fillId="3" borderId="0" xfId="6" applyBorder="1" applyAlignment="1"/>
    <xf numFmtId="3" fontId="3" fillId="0" borderId="0" xfId="0" applyNumberFormat="1" applyFont="1" applyBorder="1"/>
  </cellXfs>
  <cellStyles count="83">
    <cellStyle name="20% - Accent1" xfId="50" builtinId="30" hidden="1"/>
    <cellStyle name="20% - Accent2" xfId="54" builtinId="34" hidden="1"/>
    <cellStyle name="20% - Accent3" xfId="58" builtinId="38" hidden="1"/>
    <cellStyle name="20% - Accent4" xfId="62" builtinId="42" hidden="1"/>
    <cellStyle name="20% - Accent5" xfId="66" builtinId="46" hidden="1"/>
    <cellStyle name="20% - Accent6" xfId="70" builtinId="50" hidden="1"/>
    <cellStyle name="40% - Accent1" xfId="51" builtinId="31" hidden="1"/>
    <cellStyle name="40% - Accent2" xfId="55" builtinId="35" hidden="1"/>
    <cellStyle name="40% - Accent3" xfId="59" builtinId="39" hidden="1"/>
    <cellStyle name="40% - Accent4" xfId="63" builtinId="43" hidden="1"/>
    <cellStyle name="40% - Accent5" xfId="67" builtinId="47" hidden="1"/>
    <cellStyle name="40% - Accent6" xfId="71" builtinId="51" hidden="1"/>
    <cellStyle name="60% - Accent1" xfId="52" builtinId="32" hidden="1"/>
    <cellStyle name="60% - Accent2" xfId="56" builtinId="36" hidden="1"/>
    <cellStyle name="60% - Accent3" xfId="60" builtinId="40" hidden="1"/>
    <cellStyle name="60% - Accent4" xfId="64" builtinId="44" hidden="1"/>
    <cellStyle name="60% - Accent5" xfId="68" builtinId="48" hidden="1"/>
    <cellStyle name="60% - Accent6" xfId="72" builtinId="52" hidden="1"/>
    <cellStyle name="Accent1" xfId="49" builtinId="29" hidden="1"/>
    <cellStyle name="Accent2" xfId="53" builtinId="33" hidden="1"/>
    <cellStyle name="Accent3" xfId="57" builtinId="37" hidden="1"/>
    <cellStyle name="Accent4" xfId="61" builtinId="41" hidden="1"/>
    <cellStyle name="Accent5" xfId="65" builtinId="45" hidden="1"/>
    <cellStyle name="Accent6" xfId="69" builtinId="49" hidden="1"/>
    <cellStyle name="Bad" xfId="38" builtinId="27" hidden="1"/>
    <cellStyle name="Calculation" xfId="42" builtinId="22" hidden="1"/>
    <cellStyle name="Check Cell" xfId="44" builtinId="23" hidden="1"/>
    <cellStyle name="Comma" xfId="77" builtinId="3" hidden="1"/>
    <cellStyle name="Comma [0]" xfId="1" builtinId="6" customBuiltin="1"/>
    <cellStyle name="Comma [1]" xfId="74"/>
    <cellStyle name="Comma [2]" xfId="73"/>
    <cellStyle name="Comment" xfId="2"/>
    <cellStyle name="CommentWrap" xfId="3"/>
    <cellStyle name="Company Name" xfId="4"/>
    <cellStyle name="Currency" xfId="30" builtinId="4" hidden="1"/>
    <cellStyle name="Currency [0]" xfId="31" builtinId="7" hidden="1"/>
    <cellStyle name="Currency [0]" xfId="75"/>
    <cellStyle name="Data Input" xfId="5"/>
    <cellStyle name="Data Rows" xfId="6"/>
    <cellStyle name="Date" xfId="76"/>
    <cellStyle name="Explanatory Text" xfId="47" builtinId="53" hidden="1"/>
    <cellStyle name="Footnote" xfId="8"/>
    <cellStyle name="Good" xfId="37" builtinId="26" hidden="1"/>
    <cellStyle name="Header 1" xfId="9"/>
    <cellStyle name="Header Company" xfId="10"/>
    <cellStyle name="Header Rows" xfId="11"/>
    <cellStyle name="Header Text" xfId="12"/>
    <cellStyle name="Header Version" xfId="13"/>
    <cellStyle name="Heading (guidelines)" xfId="14"/>
    <cellStyle name="Heading 1" xfId="33" builtinId="16" hidden="1"/>
    <cellStyle name="Heading 2" xfId="34" builtinId="17" hidden="1"/>
    <cellStyle name="Heading 3" xfId="35" builtinId="18" hidden="1"/>
    <cellStyle name="Heading 4" xfId="36" builtinId="19" hidden="1"/>
    <cellStyle name="Heading1" xfId="15"/>
    <cellStyle name="Heading2" xfId="16"/>
    <cellStyle name="Heading3" xfId="17"/>
    <cellStyle name="Heading3 wrap" xfId="18"/>
    <cellStyle name="Heading3 wrap low" xfId="19"/>
    <cellStyle name="Hyperlink" xfId="20" builtinId="8" hidden="1" customBuiltin="1"/>
    <cellStyle name="Hyperlink" xfId="81" builtinId="8"/>
    <cellStyle name="Input" xfId="40" builtinId="20" hidden="1"/>
    <cellStyle name="Label 2a" xfId="21"/>
    <cellStyle name="Label 2b" xfId="22"/>
    <cellStyle name="Link" xfId="82"/>
    <cellStyle name="Linked Cell" xfId="43" builtinId="24" hidden="1"/>
    <cellStyle name="Long Date" xfId="7"/>
    <cellStyle name="Neutral" xfId="39" builtinId="28" hidden="1"/>
    <cellStyle name="Normal" xfId="0" builtinId="0" customBuiltin="1"/>
    <cellStyle name="Note" xfId="46" builtinId="10" hidden="1"/>
    <cellStyle name="Output" xfId="41" builtinId="21" hidden="1"/>
    <cellStyle name="Output heavy" xfId="80"/>
    <cellStyle name="Output light" xfId="79"/>
    <cellStyle name="Percent" xfId="78" builtinId="5" hidden="1"/>
    <cellStyle name="Percent [0]" xfId="23"/>
    <cellStyle name="Percent [2]" xfId="24"/>
    <cellStyle name="plus/less" xfId="25"/>
    <cellStyle name="RowRef" xfId="26"/>
    <cellStyle name="Short Date" xfId="27"/>
    <cellStyle name="Text" xfId="28"/>
    <cellStyle name="Text rjustify" xfId="29"/>
    <cellStyle name="Title" xfId="32" builtinId="15" hidden="1"/>
    <cellStyle name="Total" xfId="48" builtinId="25" hidden="1"/>
    <cellStyle name="Warning Text" xfId="45" builtinId="11" hidden="1"/>
  </cellStyles>
  <dxfs count="25">
    <dxf>
      <fill>
        <patternFill>
          <bgColor theme="9"/>
        </patternFill>
      </fill>
    </dxf>
    <dxf>
      <fill>
        <patternFill>
          <bgColor rgb="FFF79646"/>
        </patternFill>
      </fill>
    </dxf>
    <dxf>
      <fill>
        <patternFill>
          <bgColor theme="2"/>
        </patternFill>
      </fill>
      <border>
        <left/>
        <right style="thin">
          <color indexed="64"/>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FFFF99"/>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72" name="Picture 6" descr="ComComNZ colou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inNew/Default%20Price-Quality%20Path/DPP%20Compliance/Compliance%20-%2031%20March%202018/WORKBOOK%20DPP%20Annual%20Compliance%20Statement%202018%20V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0Information%20Disclosure%20s1-s10%20WORKBOOK%20V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New/Information%20Disclosure%20Requirements/2015/Inputs/Disclosure%20Related%20Parties%20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dminNew/Information%20Disclosure%20Requirements/2018/Inputs/2(iii)%20Information%20Supporting%20the%20Monthly%20R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ice Path Output"/>
      <sheetName val="Price Path Inputs"/>
      <sheetName val="Pass through Balance"/>
      <sheetName val="Pass through Cost"/>
      <sheetName val="PxQ"/>
      <sheetName val="Vt2018"/>
      <sheetName val="K2017-18"/>
      <sheetName val="IND"/>
      <sheetName val="CPI"/>
      <sheetName val="Unbundled lines charges 2017 "/>
      <sheetName val="Quality Output"/>
      <sheetName val="Quality Inputs"/>
      <sheetName val="Quality Incentive"/>
      <sheetName val="Outages"/>
      <sheetName val="Normalised"/>
    </sheetNames>
    <sheetDataSet>
      <sheetData sheetId="0" refreshError="1"/>
      <sheetData sheetId="1" refreshError="1"/>
      <sheetData sheetId="2" refreshError="1"/>
      <sheetData sheetId="3" refreshError="1"/>
      <sheetData sheetId="4" refreshError="1">
        <row r="29">
          <cell r="C29">
            <v>2710000</v>
          </cell>
        </row>
        <row r="30">
          <cell r="C30">
            <v>2899000</v>
          </cell>
        </row>
        <row r="35">
          <cell r="C35">
            <v>557000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TOC"/>
      <sheetName val="Instructions"/>
      <sheetName val="S1.Analytical Ratios"/>
      <sheetName val="S2.Return on Investment"/>
      <sheetName val="S3.Regulatory Profit"/>
      <sheetName val="S4.RAB Value (Rolled Forward)"/>
      <sheetName val="S5a.Regulatory Tax Allowance"/>
      <sheetName val="S5b.Related Party Transactions"/>
      <sheetName val="S5c.TCSD Allowance"/>
      <sheetName val="S5d.Cost Allocations"/>
      <sheetName val="S5e.Asset Allocations"/>
      <sheetName val="S6a.Actual Expenditure Capex"/>
      <sheetName val="S6b.Actual Expenditure Opex"/>
      <sheetName val="S7.Actual vs Forecast"/>
      <sheetName val="S8.Billed Quantities+Revenues"/>
      <sheetName val="S9a.Asset Register"/>
      <sheetName val="S9b.Asset Age Profile"/>
      <sheetName val="S9c.Overhead Lines"/>
      <sheetName val="S9d.Embedded Networks"/>
      <sheetName val="S9e.Demand"/>
      <sheetName val="S10.Reliability"/>
    </sheetNames>
    <sheetDataSet>
      <sheetData sheetId="0"/>
      <sheetData sheetId="1"/>
      <sheetData sheetId="2"/>
      <sheetData sheetId="3"/>
      <sheetData sheetId="4">
        <row r="79">
          <cell r="K79">
            <v>844.64967008367591</v>
          </cell>
          <cell r="L79">
            <v>153.12378000000004</v>
          </cell>
        </row>
      </sheetData>
      <sheetData sheetId="5"/>
      <sheetData sheetId="6">
        <row r="107">
          <cell r="O107">
            <v>21062.42201678225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10"/>
      <sheetName val="GL 10"/>
      <sheetName val="Maintenance 10"/>
      <sheetName val="Trf 10"/>
      <sheetName val="Summary 10"/>
      <sheetName val="Labour 10"/>
      <sheetName val="Expenses 10"/>
      <sheetName val="Elimination list 10"/>
      <sheetName val="Notes 10"/>
      <sheetName val="Ave SFA 10"/>
      <sheetName val="Ave SFA 11"/>
      <sheetName val="Notes 11"/>
      <sheetName val="Summary 11"/>
      <sheetName val="Labour 11"/>
      <sheetName val="Elimination list 11"/>
      <sheetName val="Expenses 11"/>
      <sheetName val="Capital 11"/>
      <sheetName val="Trf 11"/>
      <sheetName val="Maintenance 11"/>
      <sheetName val="Ave SFA 12"/>
      <sheetName val="Notes 12"/>
      <sheetName val="Summary 12"/>
      <sheetName val="Expenses 12"/>
      <sheetName val="Maintenance 12"/>
      <sheetName val="Elimination List 12"/>
      <sheetName val="Labour 12"/>
      <sheetName val="Capital 12"/>
      <sheetName val="TB Mar 12"/>
      <sheetName val="Ave SFA 13"/>
      <sheetName val="Notes 13"/>
      <sheetName val="Summary 13"/>
      <sheetName val="Expenses 13"/>
      <sheetName val="Maintenance 13"/>
      <sheetName val="Elimination List 13"/>
      <sheetName val="Labour 13"/>
      <sheetName val="Capital 13"/>
      <sheetName val="TB Mar 13"/>
      <sheetName val="Ave SFA 14"/>
      <sheetName val="Notes 14"/>
      <sheetName val="Summary 14"/>
      <sheetName val="Expenses 14"/>
      <sheetName val="Maintenance 14"/>
      <sheetName val="Elimination List 14"/>
      <sheetName val="Labour 14"/>
      <sheetName val="Capital 14"/>
      <sheetName val="TB Mar 14"/>
      <sheetName val="Ave SFA 15"/>
      <sheetName val="Notes 15"/>
      <sheetName val="Summary 15"/>
      <sheetName val="Expenses 15"/>
      <sheetName val="Maintenance 15"/>
      <sheetName val="ELimination List 15"/>
      <sheetName val="Labour 15"/>
      <sheetName val="Sheet1"/>
      <sheetName val="Capital 15"/>
      <sheetName val="TB Mar 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7">
          <cell r="A7" t="str">
            <v>Subtransmission assets</v>
          </cell>
        </row>
        <row r="8">
          <cell r="A8" t="str">
            <v>Zone Substations</v>
          </cell>
        </row>
        <row r="9">
          <cell r="A9" t="str">
            <v>Distribution and LV Lines</v>
          </cell>
        </row>
        <row r="10">
          <cell r="A10" t="str">
            <v>Distribution and LV Cables</v>
          </cell>
        </row>
        <row r="11">
          <cell r="A11" t="str">
            <v>Distribution Substations and Transformers</v>
          </cell>
        </row>
        <row r="12">
          <cell r="A12" t="str">
            <v>Distribution Switchgear</v>
          </cell>
        </row>
      </sheetData>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 Code List"/>
      <sheetName val="Apr"/>
      <sheetName val="May"/>
      <sheetName val="Jun"/>
      <sheetName val="Jul"/>
      <sheetName val="Aug"/>
      <sheetName val="Sep"/>
      <sheetName val="Oct"/>
      <sheetName val="Nov"/>
      <sheetName val="Dec"/>
      <sheetName val="Jan"/>
      <sheetName val="Feb"/>
      <sheetName val="Mar"/>
      <sheetName val="Annual TB"/>
      <sheetName val="P&amp;L by Month + Total"/>
      <sheetName val="Allocation Test"/>
      <sheetName val="Asset Add Pivot"/>
      <sheetName val="AEL asset additions 2018 PWC"/>
      <sheetName val="Pivot Disposals"/>
      <sheetName val="Disposals"/>
      <sheetName val="ID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9">
          <cell r="Q39">
            <v>223633.27000000002</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pageSetUpPr fitToPage="1"/>
  </sheetPr>
  <dimension ref="A1:D17"/>
  <sheetViews>
    <sheetView showGridLines="0" tabSelected="1" zoomScaleNormal="100" zoomScaleSheetLayoutView="100" workbookViewId="0">
      <selection activeCell="M2" sqref="M2"/>
    </sheetView>
  </sheetViews>
  <sheetFormatPr defaultColWidth="9.140625" defaultRowHeight="12.75" x14ac:dyDescent="0.2"/>
  <cols>
    <col min="1" max="1" width="26.5703125" style="6" customWidth="1"/>
    <col min="2" max="2" width="43.140625" style="6" customWidth="1"/>
    <col min="3" max="3" width="32.7109375" style="6" customWidth="1"/>
    <col min="4" max="4" width="32.28515625" style="6" customWidth="1"/>
    <col min="5" max="16384" width="9.140625" style="6"/>
  </cols>
  <sheetData>
    <row r="1" spans="1:4" x14ac:dyDescent="0.2">
      <c r="A1" s="486"/>
      <c r="B1" s="487"/>
      <c r="C1" s="487"/>
      <c r="D1" s="488"/>
    </row>
    <row r="2" spans="1:4" ht="236.25" customHeight="1" x14ac:dyDescent="0.2">
      <c r="A2" s="489"/>
      <c r="B2" s="490"/>
      <c r="C2" s="490"/>
      <c r="D2" s="491"/>
    </row>
    <row r="3" spans="1:4" ht="23.25" x14ac:dyDescent="0.35">
      <c r="A3" s="492" t="s">
        <v>11</v>
      </c>
      <c r="B3" s="493"/>
      <c r="C3" s="493"/>
      <c r="D3" s="494"/>
    </row>
    <row r="4" spans="1:4" ht="27.75" customHeight="1" x14ac:dyDescent="0.35">
      <c r="A4" s="492" t="s">
        <v>634</v>
      </c>
      <c r="B4" s="493"/>
      <c r="C4" s="493"/>
      <c r="D4" s="494"/>
    </row>
    <row r="5" spans="1:4" ht="27.75" customHeight="1" x14ac:dyDescent="0.35">
      <c r="A5" s="492" t="s">
        <v>0</v>
      </c>
      <c r="B5" s="493"/>
      <c r="C5" s="493"/>
      <c r="D5" s="494"/>
    </row>
    <row r="6" spans="1:4" ht="21" x14ac:dyDescent="0.35">
      <c r="A6" s="495" t="s">
        <v>665</v>
      </c>
      <c r="B6" s="493"/>
      <c r="C6" s="493"/>
      <c r="D6" s="494"/>
    </row>
    <row r="7" spans="1:4" ht="60" customHeight="1" x14ac:dyDescent="0.2">
      <c r="A7" s="496"/>
      <c r="B7" s="493"/>
      <c r="C7" s="493"/>
      <c r="D7" s="494"/>
    </row>
    <row r="8" spans="1:4" ht="15" customHeight="1" x14ac:dyDescent="0.2">
      <c r="A8" s="489"/>
      <c r="B8" s="497" t="s">
        <v>8</v>
      </c>
      <c r="C8" s="572" t="s">
        <v>928</v>
      </c>
      <c r="D8" s="504"/>
    </row>
    <row r="9" spans="1:4" ht="3" customHeight="1" x14ac:dyDescent="0.2">
      <c r="A9" s="489"/>
      <c r="B9" s="490"/>
      <c r="C9" s="490"/>
      <c r="D9" s="491"/>
    </row>
    <row r="10" spans="1:4" ht="15" customHeight="1" x14ac:dyDescent="0.2">
      <c r="A10" s="489"/>
      <c r="B10" s="497" t="s">
        <v>9</v>
      </c>
      <c r="C10" s="573">
        <v>43343</v>
      </c>
      <c r="D10" s="491"/>
    </row>
    <row r="11" spans="1:4" ht="3" customHeight="1" x14ac:dyDescent="0.2">
      <c r="A11" s="489"/>
      <c r="B11" s="490"/>
      <c r="C11" s="506"/>
      <c r="D11" s="491"/>
    </row>
    <row r="12" spans="1:4" ht="15" customHeight="1" x14ac:dyDescent="0.2">
      <c r="A12" s="489"/>
      <c r="B12" s="497" t="s">
        <v>10</v>
      </c>
      <c r="C12" s="573">
        <v>43190</v>
      </c>
      <c r="D12" s="504"/>
    </row>
    <row r="13" spans="1:4" x14ac:dyDescent="0.2">
      <c r="A13" s="489"/>
      <c r="B13" s="498"/>
      <c r="C13" s="498"/>
      <c r="D13" s="491"/>
    </row>
    <row r="14" spans="1:4" ht="15" customHeight="1" x14ac:dyDescent="0.2">
      <c r="A14" s="489"/>
      <c r="B14" s="498"/>
      <c r="C14" s="498"/>
      <c r="D14" s="494"/>
    </row>
    <row r="15" spans="1:4" ht="15" customHeight="1" x14ac:dyDescent="0.2">
      <c r="A15" s="499" t="s">
        <v>918</v>
      </c>
      <c r="B15" s="500"/>
      <c r="C15" s="493"/>
      <c r="D15" s="494"/>
    </row>
    <row r="16" spans="1:4" ht="15" customHeight="1" x14ac:dyDescent="0.2">
      <c r="A16" s="501" t="s">
        <v>923</v>
      </c>
      <c r="B16" s="493"/>
      <c r="C16" s="493"/>
      <c r="D16" s="494"/>
    </row>
    <row r="17" spans="1:4" ht="39.950000000000003" customHeight="1" x14ac:dyDescent="0.2">
      <c r="A17" s="502"/>
      <c r="B17" s="503"/>
      <c r="C17" s="503"/>
      <c r="D17" s="505"/>
    </row>
  </sheetData>
  <sheetProtection sheet="1" objects="1" formatRows="0" insertRows="0"/>
  <customSheetViews>
    <customSheetView guid="{21F2E024-704F-4E93-AC63-213755ECFFE0}" showPageBreaks="1" showGridLines="0" fitToPage="1" printArea="1" view="pageBreakPreview">
      <selection activeCell="C8" sqref="C8"/>
      <pageMargins left="0.70866141732283472" right="0.70866141732283472" top="0.74803149606299213" bottom="0.74803149606299213" header="0.31496062992125989" footer="0.31496062992125989"/>
      <pageSetup paperSize="9" scale="72"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phoneticPr fontId="2" type="noConversion"/>
  <dataValidations xWindow="506" yWindow="670" count="2">
    <dataValidation allowBlank="1" showInputMessage="1" promptTitle="Name of regulated entity" prompt=" " sqref="C8"/>
    <dataValidation type="date" operator="greaterThan" allowBlank="1" showInputMessage="1" showErrorMessage="1" errorTitle="Date entry" error="Dates after 1 January 2011 accepted" promptTitle="Date entry" prompt=" " sqref="C10 C12">
      <formula1>40544</formula1>
    </dataValidation>
  </dataValidations>
  <pageMargins left="0.70866141732283472" right="0.70866141732283472" top="0.74803149606299213" bottom="0.74803149606299213" header="0.31496062992125989" footer="0.31496062992125989"/>
  <pageSetup paperSize="9" scale="72" orientation="portrait" r:id="rId2"/>
  <headerFooter alignWithMargins="0">
    <oddHeader>&amp;CCommerce Commission Information Disclosure Template</oddHeader>
    <oddFooter>&amp;L&amp;F&amp;C&amp;P&amp;R&amp;A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9CCFF"/>
    <pageSetUpPr fitToPage="1"/>
  </sheetPr>
  <dimension ref="A1:Q28"/>
  <sheetViews>
    <sheetView showGridLines="0" zoomScaleNormal="100" zoomScaleSheetLayoutView="100" workbookViewId="0">
      <selection activeCell="A7" sqref="A1:XFD1048576"/>
    </sheetView>
  </sheetViews>
  <sheetFormatPr defaultColWidth="9.140625" defaultRowHeight="12.75" x14ac:dyDescent="0.2"/>
  <cols>
    <col min="1" max="1" width="4.28515625" style="27" customWidth="1"/>
    <col min="2" max="2" width="3.140625" style="27" customWidth="1"/>
    <col min="3" max="3" width="4" style="27" customWidth="1"/>
    <col min="4" max="5" width="2.28515625" style="27" customWidth="1"/>
    <col min="6" max="6" width="62.42578125" style="27" customWidth="1"/>
    <col min="7" max="9" width="16.140625" style="27" customWidth="1"/>
    <col min="10" max="10" width="18.7109375" style="27" customWidth="1"/>
    <col min="11" max="15" width="16.140625" style="27" customWidth="1"/>
    <col min="16" max="16" width="2.7109375" style="27" customWidth="1"/>
    <col min="17" max="17" width="14.7109375" style="217" customWidth="1"/>
    <col min="18" max="16384" width="9.140625" style="27"/>
  </cols>
  <sheetData>
    <row r="1" spans="1:17" s="33" customFormat="1" ht="15" customHeight="1" x14ac:dyDescent="0.2">
      <c r="A1" s="554"/>
      <c r="B1" s="546"/>
      <c r="C1" s="546"/>
      <c r="D1" s="546"/>
      <c r="E1" s="546"/>
      <c r="F1" s="546"/>
      <c r="G1" s="546"/>
      <c r="H1" s="546"/>
      <c r="I1" s="546"/>
      <c r="J1" s="546"/>
      <c r="K1" s="546"/>
      <c r="L1" s="546"/>
      <c r="M1" s="546"/>
      <c r="N1" s="546"/>
      <c r="O1" s="546"/>
      <c r="P1" s="547"/>
      <c r="Q1" s="217"/>
    </row>
    <row r="2" spans="1:17" s="33" customFormat="1" ht="18" customHeight="1" x14ac:dyDescent="0.3">
      <c r="A2" s="48"/>
      <c r="B2" s="49"/>
      <c r="C2" s="49"/>
      <c r="D2" s="49"/>
      <c r="E2" s="49"/>
      <c r="F2" s="49"/>
      <c r="G2" s="49"/>
      <c r="H2" s="49"/>
      <c r="I2" s="49"/>
      <c r="J2" s="49"/>
      <c r="K2" s="92"/>
      <c r="L2" s="94" t="s">
        <v>8</v>
      </c>
      <c r="M2" s="614" t="str">
        <f>IF(NOT(ISBLANK(CoverSheet!$C$8)),CoverSheet!$C$8,"")</f>
        <v>Alpine Energy Limited</v>
      </c>
      <c r="N2" s="615"/>
      <c r="O2" s="616"/>
      <c r="P2" s="52"/>
      <c r="Q2" s="217"/>
    </row>
    <row r="3" spans="1:17" s="33" customFormat="1" ht="18" customHeight="1" x14ac:dyDescent="0.25">
      <c r="A3" s="48"/>
      <c r="B3" s="49"/>
      <c r="C3" s="49"/>
      <c r="D3" s="49"/>
      <c r="E3" s="49"/>
      <c r="F3" s="49"/>
      <c r="G3" s="49"/>
      <c r="H3" s="49"/>
      <c r="I3" s="49"/>
      <c r="J3" s="49"/>
      <c r="K3" s="92"/>
      <c r="L3" s="94" t="s">
        <v>393</v>
      </c>
      <c r="M3" s="619">
        <f>IF(ISNUMBER(CoverSheet!$C$12),CoverSheet!$C$12,"")</f>
        <v>43190</v>
      </c>
      <c r="N3" s="620"/>
      <c r="O3" s="621"/>
      <c r="P3" s="52"/>
      <c r="Q3" s="217"/>
    </row>
    <row r="4" spans="1:17" s="33" customFormat="1" ht="24" customHeight="1" x14ac:dyDescent="0.35">
      <c r="A4" s="545" t="s">
        <v>521</v>
      </c>
      <c r="B4" s="60"/>
      <c r="C4" s="49"/>
      <c r="D4" s="49"/>
      <c r="E4" s="49"/>
      <c r="F4" s="49"/>
      <c r="G4" s="49"/>
      <c r="H4" s="49"/>
      <c r="I4" s="49"/>
      <c r="J4" s="49"/>
      <c r="K4" s="49"/>
      <c r="L4" s="452"/>
      <c r="M4" s="49"/>
      <c r="N4" s="49"/>
      <c r="O4" s="49"/>
      <c r="P4" s="52"/>
      <c r="Q4" s="217"/>
    </row>
    <row r="5" spans="1:17" ht="34.5" customHeight="1" x14ac:dyDescent="0.2">
      <c r="A5" s="609" t="s">
        <v>384</v>
      </c>
      <c r="B5" s="613"/>
      <c r="C5" s="613"/>
      <c r="D5" s="613"/>
      <c r="E5" s="613"/>
      <c r="F5" s="613"/>
      <c r="G5" s="613"/>
      <c r="H5" s="613"/>
      <c r="I5" s="613"/>
      <c r="J5" s="613"/>
      <c r="K5" s="613"/>
      <c r="L5" s="613"/>
      <c r="M5" s="613"/>
      <c r="N5" s="613"/>
      <c r="O5" s="613"/>
      <c r="P5" s="628"/>
      <c r="Q5" s="218"/>
    </row>
    <row r="6" spans="1:17" s="33" customFormat="1" ht="15" customHeight="1" x14ac:dyDescent="0.2">
      <c r="A6" s="87" t="s">
        <v>623</v>
      </c>
      <c r="B6" s="452"/>
      <c r="C6" s="53"/>
      <c r="D6" s="49"/>
      <c r="E6" s="49"/>
      <c r="F6" s="49"/>
      <c r="G6" s="49"/>
      <c r="H6" s="49"/>
      <c r="I6" s="49"/>
      <c r="J6" s="49"/>
      <c r="K6" s="49"/>
      <c r="L6" s="49"/>
      <c r="M6" s="49"/>
      <c r="N6" s="49"/>
      <c r="O6" s="49"/>
      <c r="P6" s="52"/>
      <c r="Q6" s="217"/>
    </row>
    <row r="7" spans="1:17" s="33" customFormat="1" ht="15" customHeight="1" x14ac:dyDescent="0.2">
      <c r="A7" s="116">
        <v>7</v>
      </c>
      <c r="B7" s="451"/>
      <c r="C7" s="441"/>
      <c r="D7" s="441"/>
      <c r="E7" s="441"/>
      <c r="F7" s="441"/>
      <c r="G7" s="441"/>
      <c r="H7" s="441"/>
      <c r="I7" s="441"/>
      <c r="J7" s="441"/>
      <c r="K7" s="441"/>
      <c r="L7" s="441"/>
      <c r="M7" s="441"/>
      <c r="N7" s="441"/>
      <c r="O7" s="441"/>
      <c r="P7" s="34"/>
      <c r="Q7" s="217"/>
    </row>
    <row r="8" spans="1:17" s="33" customFormat="1" ht="17.25" customHeight="1" x14ac:dyDescent="0.3">
      <c r="A8" s="116">
        <v>8</v>
      </c>
      <c r="B8" s="451"/>
      <c r="C8" s="164" t="s">
        <v>522</v>
      </c>
      <c r="D8" s="163"/>
      <c r="E8" s="150"/>
      <c r="F8" s="150"/>
      <c r="G8" s="150"/>
      <c r="H8" s="150"/>
      <c r="I8" s="150"/>
      <c r="J8" s="150"/>
      <c r="K8" s="150"/>
      <c r="L8" s="150"/>
      <c r="M8" s="150"/>
      <c r="N8" s="150"/>
      <c r="O8" s="150"/>
      <c r="P8" s="34"/>
      <c r="Q8" s="217"/>
    </row>
    <row r="9" spans="1:17" s="33" customFormat="1" ht="15" customHeight="1" x14ac:dyDescent="0.2">
      <c r="A9" s="116">
        <v>9</v>
      </c>
      <c r="B9" s="451"/>
      <c r="C9" s="442"/>
      <c r="D9" s="442"/>
      <c r="E9" s="172"/>
      <c r="F9" s="172"/>
      <c r="G9" s="172"/>
      <c r="H9" s="172"/>
      <c r="I9" s="172"/>
      <c r="J9" s="172"/>
      <c r="K9" s="172"/>
      <c r="L9" s="172"/>
      <c r="M9" s="172"/>
      <c r="N9" s="172"/>
      <c r="O9" s="172"/>
      <c r="P9" s="34"/>
      <c r="Q9" s="217"/>
    </row>
    <row r="10" spans="1:17" s="33" customFormat="1" ht="63" customHeight="1" x14ac:dyDescent="0.2">
      <c r="A10" s="116">
        <v>10</v>
      </c>
      <c r="B10" s="451"/>
      <c r="C10" s="645"/>
      <c r="D10" s="645"/>
      <c r="E10" s="172"/>
      <c r="F10" s="227" t="s">
        <v>487</v>
      </c>
      <c r="G10" s="450" t="s">
        <v>200</v>
      </c>
      <c r="H10" s="450" t="s">
        <v>201</v>
      </c>
      <c r="I10" s="450" t="s">
        <v>202</v>
      </c>
      <c r="J10" s="450" t="s">
        <v>488</v>
      </c>
      <c r="K10" s="450" t="s">
        <v>203</v>
      </c>
      <c r="L10" s="450" t="s">
        <v>204</v>
      </c>
      <c r="M10" s="450" t="s">
        <v>205</v>
      </c>
      <c r="N10" s="450" t="s">
        <v>206</v>
      </c>
      <c r="O10" s="450" t="s">
        <v>207</v>
      </c>
      <c r="P10" s="61"/>
      <c r="Q10" s="217"/>
    </row>
    <row r="11" spans="1:17" s="33" customFormat="1" ht="15" customHeight="1" x14ac:dyDescent="0.2">
      <c r="A11" s="116">
        <v>11</v>
      </c>
      <c r="B11" s="451"/>
      <c r="C11" s="645"/>
      <c r="D11" s="645"/>
      <c r="E11" s="172"/>
      <c r="F11" s="461" t="s">
        <v>932</v>
      </c>
      <c r="G11" s="363" t="s">
        <v>933</v>
      </c>
      <c r="H11" s="363" t="s">
        <v>933</v>
      </c>
      <c r="I11" s="352" t="s">
        <v>933</v>
      </c>
      <c r="J11" s="345" t="s">
        <v>933</v>
      </c>
      <c r="K11" s="3" t="s">
        <v>933</v>
      </c>
      <c r="L11" s="3" t="s">
        <v>933</v>
      </c>
      <c r="M11" s="3" t="s">
        <v>933</v>
      </c>
      <c r="N11" s="3" t="s">
        <v>933</v>
      </c>
      <c r="O11" s="3" t="s">
        <v>933</v>
      </c>
      <c r="P11" s="34"/>
      <c r="Q11" s="217"/>
    </row>
    <row r="12" spans="1:17" s="33" customFormat="1" ht="15" customHeight="1" x14ac:dyDescent="0.2">
      <c r="A12" s="116">
        <v>12</v>
      </c>
      <c r="B12" s="451"/>
      <c r="C12" s="645"/>
      <c r="D12" s="645"/>
      <c r="E12" s="172"/>
      <c r="F12" s="461"/>
      <c r="G12" s="363"/>
      <c r="H12" s="363"/>
      <c r="I12" s="352"/>
      <c r="J12" s="345"/>
      <c r="K12" s="3"/>
      <c r="L12" s="3"/>
      <c r="M12" s="3"/>
      <c r="N12" s="3"/>
      <c r="O12" s="3"/>
      <c r="P12" s="34"/>
      <c r="Q12" s="217"/>
    </row>
    <row r="13" spans="1:17" s="33" customFormat="1" ht="15" customHeight="1" x14ac:dyDescent="0.2">
      <c r="A13" s="116">
        <v>13</v>
      </c>
      <c r="B13" s="451"/>
      <c r="C13" s="645"/>
      <c r="D13" s="645"/>
      <c r="E13" s="172"/>
      <c r="F13" s="461"/>
      <c r="G13" s="363"/>
      <c r="H13" s="363"/>
      <c r="I13" s="352"/>
      <c r="J13" s="345"/>
      <c r="K13" s="3"/>
      <c r="L13" s="3"/>
      <c r="M13" s="3"/>
      <c r="N13" s="3"/>
      <c r="O13" s="3"/>
      <c r="P13" s="34"/>
      <c r="Q13" s="217"/>
    </row>
    <row r="14" spans="1:17" s="33" customFormat="1" ht="15" customHeight="1" x14ac:dyDescent="0.2">
      <c r="A14" s="116">
        <v>14</v>
      </c>
      <c r="B14" s="451"/>
      <c r="C14" s="645"/>
      <c r="D14" s="645"/>
      <c r="E14" s="172"/>
      <c r="F14" s="461"/>
      <c r="G14" s="363"/>
      <c r="H14" s="363"/>
      <c r="I14" s="352"/>
      <c r="J14" s="345"/>
      <c r="K14" s="3"/>
      <c r="L14" s="3"/>
      <c r="M14" s="3"/>
      <c r="N14" s="3"/>
      <c r="O14" s="3"/>
      <c r="P14" s="34"/>
      <c r="Q14" s="217"/>
    </row>
    <row r="15" spans="1:17" s="33" customFormat="1" ht="15" customHeight="1" x14ac:dyDescent="0.2">
      <c r="A15" s="116">
        <v>15</v>
      </c>
      <c r="B15" s="451"/>
      <c r="C15" s="645"/>
      <c r="D15" s="645"/>
      <c r="E15" s="172"/>
      <c r="F15" s="461"/>
      <c r="G15" s="363"/>
      <c r="H15" s="363"/>
      <c r="I15" s="352"/>
      <c r="J15" s="345"/>
      <c r="K15" s="3"/>
      <c r="L15" s="3"/>
      <c r="M15" s="3"/>
      <c r="N15" s="3"/>
      <c r="O15" s="3"/>
      <c r="P15" s="34"/>
      <c r="Q15" s="217"/>
    </row>
    <row r="16" spans="1:17" s="33" customFormat="1" ht="15" customHeight="1" x14ac:dyDescent="0.2">
      <c r="A16" s="116">
        <v>16</v>
      </c>
      <c r="B16" s="451"/>
      <c r="C16" s="442"/>
      <c r="D16" s="442"/>
      <c r="E16" s="172"/>
      <c r="F16" s="316" t="s">
        <v>655</v>
      </c>
      <c r="G16" s="172"/>
      <c r="H16" s="172"/>
      <c r="I16" s="172"/>
      <c r="J16" s="172"/>
      <c r="K16" s="172"/>
      <c r="L16" s="455">
        <f>SUM(L11:L15)</f>
        <v>0</v>
      </c>
      <c r="M16" s="455">
        <f>SUM(M11:M15)</f>
        <v>0</v>
      </c>
      <c r="N16" s="455">
        <f>SUM(N11:N15)</f>
        <v>0</v>
      </c>
      <c r="O16" s="455">
        <f>SUM(O11:O15)</f>
        <v>0</v>
      </c>
      <c r="P16" s="34"/>
      <c r="Q16" s="217" t="s">
        <v>627</v>
      </c>
    </row>
    <row r="17" spans="1:17" s="33" customFormat="1" ht="12.75" customHeight="1" x14ac:dyDescent="0.2">
      <c r="A17" s="116">
        <v>17</v>
      </c>
      <c r="B17" s="451"/>
      <c r="C17" s="442"/>
      <c r="D17" s="442"/>
      <c r="E17" s="172"/>
      <c r="F17" s="172"/>
      <c r="G17" s="172"/>
      <c r="H17" s="172"/>
      <c r="I17" s="172"/>
      <c r="J17" s="172"/>
      <c r="K17" s="172"/>
      <c r="L17" s="172"/>
      <c r="M17" s="172"/>
      <c r="N17" s="172"/>
      <c r="O17" s="172"/>
      <c r="P17" s="34"/>
      <c r="Q17" s="217"/>
    </row>
    <row r="18" spans="1:17" s="33" customFormat="1" ht="17.25" customHeight="1" x14ac:dyDescent="0.3">
      <c r="A18" s="116">
        <v>18</v>
      </c>
      <c r="B18" s="451"/>
      <c r="C18" s="164" t="s">
        <v>523</v>
      </c>
      <c r="D18" s="442"/>
      <c r="E18" s="172"/>
      <c r="F18" s="172"/>
      <c r="G18" s="172"/>
      <c r="H18" s="172"/>
      <c r="I18" s="172"/>
      <c r="J18" s="172"/>
      <c r="K18" s="172"/>
      <c r="L18" s="172"/>
      <c r="M18" s="172"/>
      <c r="N18" s="172"/>
      <c r="O18" s="172"/>
      <c r="P18" s="34"/>
      <c r="Q18" s="217"/>
    </row>
    <row r="19" spans="1:17" s="33" customFormat="1" ht="15" customHeight="1" thickBot="1" x14ac:dyDescent="0.25">
      <c r="A19" s="116">
        <v>19</v>
      </c>
      <c r="B19" s="451"/>
      <c r="C19" s="447"/>
      <c r="D19" s="172"/>
      <c r="E19" s="172"/>
      <c r="F19" s="172"/>
      <c r="G19" s="172"/>
      <c r="H19" s="172"/>
      <c r="I19" s="172"/>
      <c r="J19" s="172"/>
      <c r="K19" s="172"/>
      <c r="L19" s="172"/>
      <c r="M19" s="172"/>
      <c r="N19" s="172"/>
      <c r="O19" s="172"/>
      <c r="P19" s="34"/>
      <c r="Q19" s="217"/>
    </row>
    <row r="20" spans="1:17" s="33" customFormat="1" ht="15" customHeight="1" thickBot="1" x14ac:dyDescent="0.25">
      <c r="A20" s="116">
        <v>20</v>
      </c>
      <c r="B20" s="451"/>
      <c r="C20" s="447"/>
      <c r="D20" s="172"/>
      <c r="E20" s="168" t="s">
        <v>208</v>
      </c>
      <c r="F20" s="172"/>
      <c r="G20" s="172"/>
      <c r="H20" s="172"/>
      <c r="I20" s="456">
        <f>M16+N16+O16</f>
        <v>0</v>
      </c>
      <c r="J20" s="172"/>
      <c r="K20" s="172"/>
      <c r="L20" s="172"/>
      <c r="M20" s="172"/>
      <c r="N20" s="172"/>
      <c r="O20" s="172"/>
      <c r="P20" s="34"/>
      <c r="Q20" s="217" t="s">
        <v>628</v>
      </c>
    </row>
    <row r="21" spans="1:17" s="33" customFormat="1" ht="15" customHeight="1" x14ac:dyDescent="0.2">
      <c r="A21" s="116">
        <v>21</v>
      </c>
      <c r="B21" s="451"/>
      <c r="C21" s="447"/>
      <c r="D21" s="172"/>
      <c r="E21" s="168"/>
      <c r="F21" s="172"/>
      <c r="G21" s="172"/>
      <c r="H21" s="172"/>
      <c r="I21" s="172"/>
      <c r="J21" s="172"/>
      <c r="K21" s="172"/>
      <c r="L21" s="172"/>
      <c r="M21" s="172"/>
      <c r="N21" s="172"/>
      <c r="O21" s="172"/>
      <c r="P21" s="34"/>
      <c r="Q21" s="217"/>
    </row>
    <row r="22" spans="1:17" s="33" customFormat="1" ht="15" customHeight="1" x14ac:dyDescent="0.2">
      <c r="A22" s="116">
        <v>22</v>
      </c>
      <c r="B22" s="451"/>
      <c r="C22" s="447"/>
      <c r="D22" s="179"/>
      <c r="E22" s="168"/>
      <c r="F22" s="294" t="s">
        <v>629</v>
      </c>
      <c r="G22" s="172"/>
      <c r="H22" s="3">
        <v>0</v>
      </c>
      <c r="I22" s="172"/>
      <c r="J22" s="172"/>
      <c r="K22" s="172"/>
      <c r="L22" s="172"/>
      <c r="M22" s="172"/>
      <c r="N22" s="172"/>
      <c r="O22" s="172"/>
      <c r="P22" s="34"/>
      <c r="Q22" s="217"/>
    </row>
    <row r="23" spans="1:17" s="33" customFormat="1" ht="15" customHeight="1" x14ac:dyDescent="0.2">
      <c r="A23" s="116">
        <v>23</v>
      </c>
      <c r="B23" s="451"/>
      <c r="C23" s="447"/>
      <c r="D23" s="179"/>
      <c r="E23" s="168"/>
      <c r="F23" s="224" t="s">
        <v>209</v>
      </c>
      <c r="G23" s="172"/>
      <c r="H23" s="608">
        <v>0.44</v>
      </c>
      <c r="I23" s="172"/>
      <c r="J23" s="172"/>
      <c r="K23" s="172"/>
      <c r="L23" s="172"/>
      <c r="M23" s="172"/>
      <c r="N23" s="172"/>
      <c r="O23" s="172"/>
      <c r="P23" s="34"/>
      <c r="Q23" s="217"/>
    </row>
    <row r="24" spans="1:17" s="33" customFormat="1" ht="15" customHeight="1" x14ac:dyDescent="0.2">
      <c r="A24" s="116">
        <v>24</v>
      </c>
      <c r="B24" s="451"/>
      <c r="C24" s="447"/>
      <c r="D24" s="179"/>
      <c r="E24" s="168"/>
      <c r="F24" s="224" t="s">
        <v>210</v>
      </c>
      <c r="G24" s="172"/>
      <c r="H24" s="3">
        <v>0</v>
      </c>
      <c r="I24" s="172"/>
      <c r="J24" s="172"/>
      <c r="K24" s="172"/>
      <c r="L24" s="172"/>
      <c r="M24" s="172"/>
      <c r="N24" s="172"/>
      <c r="O24" s="172"/>
      <c r="P24" s="34"/>
      <c r="Q24" s="217"/>
    </row>
    <row r="25" spans="1:17" s="33" customFormat="1" ht="15" customHeight="1" x14ac:dyDescent="0.2">
      <c r="A25" s="116">
        <v>25</v>
      </c>
      <c r="B25" s="451"/>
      <c r="C25" s="447"/>
      <c r="D25" s="447"/>
      <c r="E25" s="168" t="s">
        <v>211</v>
      </c>
      <c r="F25" s="447"/>
      <c r="G25" s="172"/>
      <c r="H25" s="172"/>
      <c r="I25" s="462">
        <f>IF(H22&lt;&gt;0,H24*H23/H22,0)</f>
        <v>0</v>
      </c>
      <c r="J25" s="172"/>
      <c r="K25" s="172"/>
      <c r="L25" s="172"/>
      <c r="M25" s="172"/>
      <c r="N25" s="172"/>
      <c r="O25" s="172"/>
      <c r="P25" s="34"/>
      <c r="Q25" s="217"/>
    </row>
    <row r="26" spans="1:17" s="33" customFormat="1" ht="15" customHeight="1" thickBot="1" x14ac:dyDescent="0.25">
      <c r="A26" s="116">
        <v>26</v>
      </c>
      <c r="B26" s="451"/>
      <c r="C26" s="447"/>
      <c r="D26" s="172"/>
      <c r="E26" s="168"/>
      <c r="F26" s="172"/>
      <c r="G26" s="172"/>
      <c r="H26" s="172"/>
      <c r="I26" s="172"/>
      <c r="J26" s="172"/>
      <c r="K26" s="172"/>
      <c r="L26" s="172"/>
      <c r="M26" s="172"/>
      <c r="N26" s="172"/>
      <c r="O26" s="172"/>
      <c r="P26" s="34"/>
      <c r="Q26" s="217"/>
    </row>
    <row r="27" spans="1:17" s="33" customFormat="1" ht="15" customHeight="1" thickBot="1" x14ac:dyDescent="0.25">
      <c r="A27" s="116">
        <v>27</v>
      </c>
      <c r="B27" s="451"/>
      <c r="C27" s="447"/>
      <c r="D27" s="447"/>
      <c r="E27" s="168" t="s">
        <v>158</v>
      </c>
      <c r="F27" s="447"/>
      <c r="G27" s="172"/>
      <c r="H27" s="172"/>
      <c r="I27" s="456">
        <f>IF(I25="not defined",0,MAX(I20*I25,0))</f>
        <v>0</v>
      </c>
      <c r="J27" s="172"/>
      <c r="K27" s="172"/>
      <c r="L27" s="172"/>
      <c r="M27" s="172"/>
      <c r="N27" s="172"/>
      <c r="O27" s="172"/>
      <c r="P27" s="34"/>
      <c r="Q27" s="214" t="s">
        <v>845</v>
      </c>
    </row>
    <row r="28" spans="1:17" s="33" customFormat="1" x14ac:dyDescent="0.2">
      <c r="A28" s="39"/>
      <c r="B28" s="40"/>
      <c r="C28" s="182"/>
      <c r="D28" s="182"/>
      <c r="E28" s="182"/>
      <c r="F28" s="182"/>
      <c r="G28" s="182"/>
      <c r="H28" s="182"/>
      <c r="I28" s="182"/>
      <c r="J28" s="182"/>
      <c r="K28" s="182"/>
      <c r="L28" s="182"/>
      <c r="M28" s="182"/>
      <c r="N28" s="182"/>
      <c r="O28" s="182"/>
      <c r="P28" s="47"/>
      <c r="Q28" s="217"/>
    </row>
  </sheetData>
  <sheetProtection formatRows="0" insertRows="0"/>
  <customSheetViews>
    <customSheetView guid="{21F2E024-704F-4E93-AC63-213755ECFFE0}" scale="55" showPageBreaks="1" showGridLines="0" fitToPage="1" printArea="1" view="pageBreakPreview">
      <selection activeCell="O60" sqref="O60"/>
      <pageMargins left="0.70866141732283472" right="0.70866141732283472" top="0.74803149606299213" bottom="0.74803149606299213" header="0.31496062992125984" footer="0.31496062992125984"/>
      <pageSetup paperSize="9" scale="59" orientation="landscape" r:id="rId1"/>
      <headerFooter alignWithMargins="0">
        <oddHeader>&amp;C&amp;"Arial"&amp;10 Commerce Commission Information Disclosure Template</oddHeader>
        <oddFooter>&amp;L&amp;"Arial"&amp;10 &amp;F&amp;C&amp;"Arial"&amp;10 &amp;A&amp;R&amp;"Arial"&amp;10 &amp;P</oddFooter>
      </headerFooter>
    </customSheetView>
  </customSheetViews>
  <mergeCells count="9">
    <mergeCell ref="M2:O2"/>
    <mergeCell ref="C15:D15"/>
    <mergeCell ref="C13:D13"/>
    <mergeCell ref="C14:D14"/>
    <mergeCell ref="M3:O3"/>
    <mergeCell ref="A5:P5"/>
    <mergeCell ref="C10:D10"/>
    <mergeCell ref="C11:D11"/>
    <mergeCell ref="C12:D12"/>
  </mergeCells>
  <dataValidations count="2">
    <dataValidation allowBlank="1" showInputMessage="1" showErrorMessage="1" prompt="Please enter a date that can be expressed in the d/m/yyyy format" sqref="G11:H15"/>
    <dataValidation allowBlank="1" showInputMessage="1" showErrorMessage="1" prompt="Please enter text" sqref="F11:F15"/>
  </dataValidations>
  <pageMargins left="0.70866141732283472" right="0.70866141732283472" top="0.74803149606299213" bottom="0.74803149606299213" header="0.31496062992125989" footer="0.31496062992125989"/>
  <pageSetup paperSize="9" scale="64" orientation="landscape" r:id="rId2"/>
  <headerFooter alignWithMargins="0">
    <oddHeader>&amp;CCommerce Commission Information Disclosure Template</oddHeader>
    <oddFooter>&amp;L&amp;F&amp;C&amp;P&amp;R&amp;A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P80"/>
  <sheetViews>
    <sheetView showGridLines="0" zoomScaleNormal="100" zoomScaleSheetLayoutView="100" workbookViewId="0">
      <selection activeCell="K27" sqref="K27"/>
    </sheetView>
  </sheetViews>
  <sheetFormatPr defaultColWidth="9.140625" defaultRowHeight="12.75" x14ac:dyDescent="0.2"/>
  <cols>
    <col min="1" max="1" width="4.7109375" style="20" customWidth="1"/>
    <col min="2" max="2" width="3.140625" style="20" customWidth="1"/>
    <col min="3" max="3" width="6.140625" style="20" customWidth="1"/>
    <col min="4" max="4" width="2.28515625" style="20" customWidth="1"/>
    <col min="5" max="5" width="2.28515625" style="27" customWidth="1"/>
    <col min="6" max="6" width="27.85546875" style="27" customWidth="1"/>
    <col min="7" max="7" width="10.5703125" style="27" customWidth="1"/>
    <col min="8" max="8" width="40.7109375" style="27" customWidth="1"/>
    <col min="9" max="9" width="18.5703125" style="27" customWidth="1"/>
    <col min="10" max="14" width="16.7109375" style="20" customWidth="1"/>
    <col min="15" max="15" width="2.7109375" style="20" customWidth="1"/>
    <col min="16" max="16" width="14.28515625" style="20" bestFit="1" customWidth="1"/>
    <col min="17" max="16384" width="9.140625" style="20"/>
  </cols>
  <sheetData>
    <row r="1" spans="1:15" s="10" customFormat="1" ht="15" customHeight="1" x14ac:dyDescent="0.3">
      <c r="A1" s="554"/>
      <c r="B1" s="546"/>
      <c r="C1" s="546"/>
      <c r="D1" s="546"/>
      <c r="E1" s="546"/>
      <c r="F1" s="546"/>
      <c r="G1" s="546"/>
      <c r="H1" s="546"/>
      <c r="I1" s="546"/>
      <c r="J1" s="546"/>
      <c r="K1" s="546"/>
      <c r="L1" s="546"/>
      <c r="M1" s="546"/>
      <c r="N1" s="546"/>
      <c r="O1" s="552"/>
    </row>
    <row r="2" spans="1:15" s="10" customFormat="1" ht="18" customHeight="1" x14ac:dyDescent="0.3">
      <c r="A2" s="48"/>
      <c r="B2" s="63"/>
      <c r="C2" s="49"/>
      <c r="D2" s="49"/>
      <c r="E2" s="49"/>
      <c r="F2" s="49"/>
      <c r="G2" s="49"/>
      <c r="H2" s="49"/>
      <c r="I2" s="49"/>
      <c r="J2" s="49"/>
      <c r="K2" s="94" t="s">
        <v>8</v>
      </c>
      <c r="L2" s="611" t="str">
        <f>IF(NOT(ISBLANK(CoverSheet!$C$8)),CoverSheet!$C$8,"")</f>
        <v>Alpine Energy Limited</v>
      </c>
      <c r="M2" s="611"/>
      <c r="N2" s="611"/>
      <c r="O2" s="64"/>
    </row>
    <row r="3" spans="1:15" s="10" customFormat="1" ht="18" customHeight="1" x14ac:dyDescent="0.3">
      <c r="A3" s="48"/>
      <c r="B3" s="63"/>
      <c r="C3" s="49"/>
      <c r="D3" s="49"/>
      <c r="E3" s="49"/>
      <c r="F3" s="49"/>
      <c r="G3" s="49"/>
      <c r="H3" s="49"/>
      <c r="I3" s="49"/>
      <c r="J3" s="49"/>
      <c r="K3" s="94" t="s">
        <v>393</v>
      </c>
      <c r="L3" s="612">
        <f>IF(ISNUMBER(CoverSheet!$C$12),CoverSheet!$C$12,"")</f>
        <v>43190</v>
      </c>
      <c r="M3" s="612"/>
      <c r="N3" s="612"/>
      <c r="O3" s="64"/>
    </row>
    <row r="4" spans="1:15" s="10" customFormat="1" ht="21" x14ac:dyDescent="0.35">
      <c r="A4" s="545" t="s">
        <v>530</v>
      </c>
      <c r="B4" s="49"/>
      <c r="C4" s="49"/>
      <c r="D4" s="49"/>
      <c r="E4" s="49"/>
      <c r="F4" s="49"/>
      <c r="G4" s="49"/>
      <c r="H4" s="49"/>
      <c r="I4" s="49"/>
      <c r="J4" s="49"/>
      <c r="K4" s="452"/>
      <c r="L4" s="49"/>
      <c r="M4" s="49"/>
      <c r="N4" s="49"/>
      <c r="O4" s="52"/>
    </row>
    <row r="5" spans="1:15" s="29" customFormat="1" ht="37.5" customHeight="1" x14ac:dyDescent="0.2">
      <c r="A5" s="637" t="s">
        <v>546</v>
      </c>
      <c r="B5" s="638"/>
      <c r="C5" s="638"/>
      <c r="D5" s="638"/>
      <c r="E5" s="638"/>
      <c r="F5" s="638"/>
      <c r="G5" s="638"/>
      <c r="H5" s="638"/>
      <c r="I5" s="638"/>
      <c r="J5" s="638"/>
      <c r="K5" s="638"/>
      <c r="L5" s="638"/>
      <c r="M5" s="638"/>
      <c r="N5" s="638"/>
      <c r="O5" s="95"/>
    </row>
    <row r="6" spans="1:15" s="10" customFormat="1" ht="15" customHeight="1" x14ac:dyDescent="0.2">
      <c r="A6" s="87" t="s">
        <v>623</v>
      </c>
      <c r="B6" s="452"/>
      <c r="C6" s="53"/>
      <c r="D6" s="54"/>
      <c r="E6" s="54"/>
      <c r="F6" s="54"/>
      <c r="G6" s="54"/>
      <c r="H6" s="54"/>
      <c r="I6" s="54"/>
      <c r="J6" s="49"/>
      <c r="K6" s="49"/>
      <c r="L6" s="49"/>
      <c r="M6" s="49"/>
      <c r="N6" s="49"/>
      <c r="O6" s="52"/>
    </row>
    <row r="7" spans="1:15" ht="30" customHeight="1" x14ac:dyDescent="0.3">
      <c r="A7" s="116">
        <v>7</v>
      </c>
      <c r="B7" s="36"/>
      <c r="C7" s="142" t="s">
        <v>531</v>
      </c>
      <c r="D7" s="441"/>
      <c r="E7" s="441"/>
      <c r="F7" s="441"/>
      <c r="G7" s="441"/>
      <c r="H7" s="441"/>
      <c r="I7" s="441"/>
      <c r="J7" s="209"/>
      <c r="K7" s="209"/>
      <c r="L7" s="209"/>
      <c r="M7" s="209"/>
      <c r="N7" s="209"/>
      <c r="O7" s="34"/>
    </row>
    <row r="8" spans="1:15" ht="15.75" customHeight="1" x14ac:dyDescent="0.2">
      <c r="A8" s="116">
        <v>8</v>
      </c>
      <c r="B8" s="441"/>
      <c r="C8" s="646"/>
      <c r="D8" s="646"/>
      <c r="E8" s="443"/>
      <c r="F8" s="443"/>
      <c r="G8" s="443"/>
      <c r="H8" s="443"/>
      <c r="I8" s="443"/>
      <c r="J8" s="381" t="s">
        <v>247</v>
      </c>
      <c r="K8" s="381"/>
      <c r="L8" s="381"/>
      <c r="M8" s="381"/>
      <c r="N8" s="379"/>
      <c r="O8" s="34"/>
    </row>
    <row r="9" spans="1:15" ht="41.25" customHeight="1" x14ac:dyDescent="0.2">
      <c r="A9" s="116">
        <v>9</v>
      </c>
      <c r="B9" s="441"/>
      <c r="C9" s="646"/>
      <c r="D9" s="646"/>
      <c r="E9" s="443"/>
      <c r="F9" s="443"/>
      <c r="G9" s="443"/>
      <c r="H9" s="443"/>
      <c r="I9" s="443"/>
      <c r="J9" s="379" t="s">
        <v>248</v>
      </c>
      <c r="K9" s="379" t="s">
        <v>249</v>
      </c>
      <c r="L9" s="379" t="s">
        <v>250</v>
      </c>
      <c r="M9" s="379" t="s">
        <v>3</v>
      </c>
      <c r="N9" s="380" t="s">
        <v>898</v>
      </c>
      <c r="O9" s="34"/>
    </row>
    <row r="10" spans="1:15" s="29" customFormat="1" ht="18" customHeight="1" x14ac:dyDescent="0.25">
      <c r="A10" s="116">
        <v>10</v>
      </c>
      <c r="B10" s="441"/>
      <c r="C10" s="143"/>
      <c r="D10" s="145" t="s">
        <v>71</v>
      </c>
      <c r="E10" s="117"/>
      <c r="F10" s="143"/>
      <c r="G10" s="143"/>
      <c r="H10" s="143"/>
      <c r="I10" s="143"/>
      <c r="J10" s="441"/>
      <c r="K10" s="441"/>
      <c r="L10" s="441"/>
      <c r="M10" s="441"/>
      <c r="N10" s="441"/>
      <c r="O10" s="34"/>
    </row>
    <row r="11" spans="1:15" s="29" customFormat="1" ht="15" customHeight="1" x14ac:dyDescent="0.25">
      <c r="A11" s="116">
        <v>11</v>
      </c>
      <c r="B11" s="441"/>
      <c r="C11" s="36"/>
      <c r="D11" s="145"/>
      <c r="E11" s="117"/>
      <c r="F11" s="144" t="s">
        <v>251</v>
      </c>
      <c r="G11" s="36"/>
      <c r="H11" s="36"/>
      <c r="I11" s="36"/>
      <c r="J11" s="451"/>
      <c r="K11" s="3">
        <f>'S6b.Actual Expenditure Opex'!R8</f>
        <v>1748</v>
      </c>
      <c r="L11" s="451"/>
      <c r="M11" s="451"/>
      <c r="N11" s="451"/>
      <c r="O11" s="34"/>
    </row>
    <row r="12" spans="1:15" s="29" customFormat="1" ht="15" customHeight="1" x14ac:dyDescent="0.25">
      <c r="A12" s="116">
        <v>12</v>
      </c>
      <c r="B12" s="441"/>
      <c r="C12" s="36"/>
      <c r="D12" s="145"/>
      <c r="E12" s="117"/>
      <c r="F12" s="144" t="s">
        <v>252</v>
      </c>
      <c r="G12" s="36"/>
      <c r="H12" s="36"/>
      <c r="I12" s="36"/>
      <c r="J12" s="581">
        <v>0</v>
      </c>
      <c r="K12" s="581">
        <v>0</v>
      </c>
      <c r="L12" s="581">
        <v>0</v>
      </c>
      <c r="M12" s="334">
        <f>J12+K12+L12</f>
        <v>0</v>
      </c>
      <c r="N12" s="581" t="s">
        <v>933</v>
      </c>
      <c r="O12" s="34"/>
    </row>
    <row r="13" spans="1:15" s="29" customFormat="1" ht="15" customHeight="1" x14ac:dyDescent="0.25">
      <c r="A13" s="116">
        <v>13</v>
      </c>
      <c r="B13" s="441"/>
      <c r="C13" s="36"/>
      <c r="D13" s="145"/>
      <c r="E13" s="117" t="s">
        <v>253</v>
      </c>
      <c r="F13" s="117"/>
      <c r="G13" s="36"/>
      <c r="H13" s="36"/>
      <c r="I13" s="36"/>
      <c r="J13" s="451"/>
      <c r="K13" s="334">
        <f>SUM(K11:K12)</f>
        <v>1748</v>
      </c>
      <c r="L13" s="451"/>
      <c r="M13" s="451"/>
      <c r="N13" s="451"/>
      <c r="O13" s="34"/>
    </row>
    <row r="14" spans="1:15" s="29" customFormat="1" ht="18" customHeight="1" x14ac:dyDescent="0.25">
      <c r="A14" s="116">
        <v>14</v>
      </c>
      <c r="B14" s="441"/>
      <c r="C14" s="143"/>
      <c r="D14" s="145" t="s">
        <v>70</v>
      </c>
      <c r="E14" s="117"/>
      <c r="F14" s="143"/>
      <c r="G14" s="143"/>
      <c r="H14" s="143"/>
      <c r="I14" s="143"/>
      <c r="J14" s="451"/>
      <c r="K14" s="451"/>
      <c r="L14" s="451"/>
      <c r="M14" s="451"/>
      <c r="N14" s="451"/>
      <c r="O14" s="34"/>
    </row>
    <row r="15" spans="1:15" s="29" customFormat="1" ht="15" customHeight="1" x14ac:dyDescent="0.25">
      <c r="A15" s="116">
        <v>15</v>
      </c>
      <c r="B15" s="441"/>
      <c r="C15" s="36"/>
      <c r="D15" s="145"/>
      <c r="E15" s="117"/>
      <c r="F15" s="144" t="s">
        <v>251</v>
      </c>
      <c r="G15" s="36"/>
      <c r="H15" s="36"/>
      <c r="I15" s="36"/>
      <c r="J15" s="451"/>
      <c r="K15" s="3">
        <f>'S6b.Actual Expenditure Opex'!R9</f>
        <v>431</v>
      </c>
      <c r="L15" s="451"/>
      <c r="M15" s="451"/>
      <c r="N15" s="451"/>
      <c r="O15" s="34"/>
    </row>
    <row r="16" spans="1:15" s="29" customFormat="1" ht="15" customHeight="1" x14ac:dyDescent="0.25">
      <c r="A16" s="116">
        <v>16</v>
      </c>
      <c r="B16" s="441"/>
      <c r="C16" s="36"/>
      <c r="D16" s="145"/>
      <c r="E16" s="117"/>
      <c r="F16" s="144" t="s">
        <v>252</v>
      </c>
      <c r="G16" s="36"/>
      <c r="H16" s="36"/>
      <c r="I16" s="36"/>
      <c r="J16" s="581">
        <v>0</v>
      </c>
      <c r="K16" s="581">
        <v>0</v>
      </c>
      <c r="L16" s="581">
        <v>0</v>
      </c>
      <c r="M16" s="334">
        <f>J16+K16+L16</f>
        <v>0</v>
      </c>
      <c r="N16" s="581" t="s">
        <v>933</v>
      </c>
      <c r="O16" s="34"/>
    </row>
    <row r="17" spans="1:15" s="29" customFormat="1" ht="15" customHeight="1" x14ac:dyDescent="0.25">
      <c r="A17" s="116">
        <v>17</v>
      </c>
      <c r="B17" s="441"/>
      <c r="C17" s="36"/>
      <c r="D17" s="145"/>
      <c r="E17" s="117" t="s">
        <v>253</v>
      </c>
      <c r="F17" s="117"/>
      <c r="G17" s="36"/>
      <c r="H17" s="36"/>
      <c r="I17" s="36"/>
      <c r="J17" s="451"/>
      <c r="K17" s="334">
        <f>SUM(K15:K16)</f>
        <v>431</v>
      </c>
      <c r="L17" s="451"/>
      <c r="M17" s="451"/>
      <c r="N17" s="451"/>
      <c r="O17" s="34"/>
    </row>
    <row r="18" spans="1:15" s="29" customFormat="1" ht="18" customHeight="1" x14ac:dyDescent="0.25">
      <c r="A18" s="116">
        <v>18</v>
      </c>
      <c r="B18" s="441"/>
      <c r="C18" s="143"/>
      <c r="D18" s="145" t="s">
        <v>118</v>
      </c>
      <c r="E18" s="117"/>
      <c r="F18" s="143"/>
      <c r="G18" s="143"/>
      <c r="H18" s="143"/>
      <c r="I18" s="143"/>
      <c r="J18" s="451"/>
      <c r="K18" s="451"/>
      <c r="L18" s="451"/>
      <c r="M18" s="451"/>
      <c r="N18" s="451"/>
      <c r="O18" s="34"/>
    </row>
    <row r="19" spans="1:15" s="29" customFormat="1" ht="15" customHeight="1" x14ac:dyDescent="0.25">
      <c r="A19" s="116">
        <v>19</v>
      </c>
      <c r="B19" s="441"/>
      <c r="C19" s="36"/>
      <c r="D19" s="145"/>
      <c r="E19" s="117"/>
      <c r="F19" s="144" t="s">
        <v>251</v>
      </c>
      <c r="G19" s="36"/>
      <c r="H19" s="36"/>
      <c r="I19" s="36"/>
      <c r="J19" s="451"/>
      <c r="K19" s="3">
        <f>'S6b.Actual Expenditure Opex'!R10</f>
        <v>2520</v>
      </c>
      <c r="L19" s="451"/>
      <c r="M19" s="451"/>
      <c r="N19" s="451"/>
      <c r="O19" s="34"/>
    </row>
    <row r="20" spans="1:15" s="29" customFormat="1" ht="15" customHeight="1" x14ac:dyDescent="0.25">
      <c r="A20" s="116">
        <v>20</v>
      </c>
      <c r="B20" s="441"/>
      <c r="C20" s="36"/>
      <c r="D20" s="145"/>
      <c r="E20" s="117"/>
      <c r="F20" s="144" t="s">
        <v>252</v>
      </c>
      <c r="G20" s="36"/>
      <c r="H20" s="36"/>
      <c r="I20" s="36"/>
      <c r="J20" s="581">
        <v>0</v>
      </c>
      <c r="K20" s="581">
        <v>0</v>
      </c>
      <c r="L20" s="581">
        <v>0</v>
      </c>
      <c r="M20" s="334">
        <f>J20+K20+L20</f>
        <v>0</v>
      </c>
      <c r="N20" s="581" t="s">
        <v>933</v>
      </c>
      <c r="O20" s="34"/>
    </row>
    <row r="21" spans="1:15" s="29" customFormat="1" ht="15" customHeight="1" x14ac:dyDescent="0.25">
      <c r="A21" s="116">
        <v>21</v>
      </c>
      <c r="B21" s="441"/>
      <c r="C21" s="36"/>
      <c r="D21" s="145"/>
      <c r="E21" s="117" t="s">
        <v>253</v>
      </c>
      <c r="F21" s="117"/>
      <c r="G21" s="36"/>
      <c r="H21" s="36"/>
      <c r="I21" s="36"/>
      <c r="J21" s="451"/>
      <c r="K21" s="334">
        <f>SUM(K19:K20)</f>
        <v>2520</v>
      </c>
      <c r="L21" s="451"/>
      <c r="M21" s="451"/>
      <c r="N21" s="451"/>
      <c r="O21" s="34"/>
    </row>
    <row r="22" spans="1:15" s="29" customFormat="1" ht="18" customHeight="1" x14ac:dyDescent="0.25">
      <c r="A22" s="116">
        <v>22</v>
      </c>
      <c r="B22" s="441"/>
      <c r="C22" s="143"/>
      <c r="D22" s="145" t="s">
        <v>114</v>
      </c>
      <c r="E22" s="117"/>
      <c r="F22" s="143"/>
      <c r="G22" s="143"/>
      <c r="H22" s="143"/>
      <c r="I22" s="143"/>
      <c r="J22" s="451"/>
      <c r="K22" s="451"/>
      <c r="L22" s="451"/>
      <c r="M22" s="451"/>
      <c r="N22" s="451"/>
      <c r="O22" s="34"/>
    </row>
    <row r="23" spans="1:15" s="29" customFormat="1" ht="15" customHeight="1" x14ac:dyDescent="0.25">
      <c r="A23" s="116">
        <v>23</v>
      </c>
      <c r="B23" s="441"/>
      <c r="C23" s="36"/>
      <c r="D23" s="145"/>
      <c r="E23" s="117"/>
      <c r="F23" s="144" t="s">
        <v>251</v>
      </c>
      <c r="G23" s="36"/>
      <c r="H23" s="36"/>
      <c r="I23" s="36"/>
      <c r="J23" s="451"/>
      <c r="K23" s="3">
        <f>'S6b.Actual Expenditure Opex'!R11</f>
        <v>701</v>
      </c>
      <c r="L23" s="451"/>
      <c r="M23" s="451"/>
      <c r="N23" s="451"/>
      <c r="O23" s="34"/>
    </row>
    <row r="24" spans="1:15" s="29" customFormat="1" ht="15" customHeight="1" x14ac:dyDescent="0.25">
      <c r="A24" s="116">
        <v>24</v>
      </c>
      <c r="B24" s="441"/>
      <c r="C24" s="36"/>
      <c r="D24" s="145"/>
      <c r="E24" s="117"/>
      <c r="F24" s="144" t="s">
        <v>252</v>
      </c>
      <c r="G24" s="36"/>
      <c r="H24" s="36"/>
      <c r="I24" s="36"/>
      <c r="J24" s="581">
        <v>0</v>
      </c>
      <c r="K24" s="581">
        <v>0</v>
      </c>
      <c r="L24" s="581">
        <v>0</v>
      </c>
      <c r="M24" s="334">
        <f>J24+K24+L24</f>
        <v>0</v>
      </c>
      <c r="N24" s="581" t="s">
        <v>933</v>
      </c>
      <c r="O24" s="34"/>
    </row>
    <row r="25" spans="1:15" s="29" customFormat="1" ht="15" customHeight="1" x14ac:dyDescent="0.25">
      <c r="A25" s="116">
        <v>25</v>
      </c>
      <c r="B25" s="441"/>
      <c r="C25" s="36"/>
      <c r="D25" s="145"/>
      <c r="E25" s="117" t="s">
        <v>253</v>
      </c>
      <c r="F25" s="117"/>
      <c r="G25" s="36"/>
      <c r="H25" s="36"/>
      <c r="I25" s="36"/>
      <c r="J25" s="451"/>
      <c r="K25" s="334">
        <f>SUM(K23:K24)</f>
        <v>701</v>
      </c>
      <c r="L25" s="451"/>
      <c r="M25" s="451"/>
      <c r="N25" s="451"/>
      <c r="O25" s="34"/>
    </row>
    <row r="26" spans="1:15" s="29" customFormat="1" ht="18" customHeight="1" x14ac:dyDescent="0.25">
      <c r="A26" s="116">
        <v>26</v>
      </c>
      <c r="B26" s="441"/>
      <c r="C26" s="143"/>
      <c r="D26" s="145" t="s">
        <v>276</v>
      </c>
      <c r="E26" s="117"/>
      <c r="F26" s="143"/>
      <c r="G26" s="143"/>
      <c r="H26" s="143"/>
      <c r="I26" s="143"/>
      <c r="J26" s="451"/>
      <c r="K26" s="451"/>
      <c r="L26" s="451"/>
      <c r="M26" s="451"/>
      <c r="N26" s="451"/>
      <c r="O26" s="34"/>
    </row>
    <row r="27" spans="1:15" s="29" customFormat="1" ht="15" customHeight="1" x14ac:dyDescent="0.25">
      <c r="A27" s="116">
        <v>27</v>
      </c>
      <c r="B27" s="441"/>
      <c r="C27" s="36"/>
      <c r="D27" s="145"/>
      <c r="E27" s="117"/>
      <c r="F27" s="144" t="s">
        <v>251</v>
      </c>
      <c r="G27" s="36"/>
      <c r="H27" s="36"/>
      <c r="I27" s="36"/>
      <c r="J27" s="451"/>
      <c r="K27" s="3">
        <f>'S6b.Actual Expenditure Opex'!R13</f>
        <v>4476.1096800000023</v>
      </c>
      <c r="L27" s="451"/>
      <c r="M27" s="451"/>
      <c r="N27" s="451"/>
      <c r="O27" s="34"/>
    </row>
    <row r="28" spans="1:15" s="29" customFormat="1" ht="15" customHeight="1" x14ac:dyDescent="0.25">
      <c r="A28" s="116">
        <v>28</v>
      </c>
      <c r="B28" s="441"/>
      <c r="C28" s="36"/>
      <c r="D28" s="145"/>
      <c r="E28" s="117"/>
      <c r="F28" s="144" t="s">
        <v>252</v>
      </c>
      <c r="G28" s="36"/>
      <c r="H28" s="36"/>
      <c r="I28" s="36"/>
      <c r="J28" s="581">
        <v>0</v>
      </c>
      <c r="K28" s="581">
        <v>0</v>
      </c>
      <c r="L28" s="581">
        <v>0</v>
      </c>
      <c r="M28" s="334">
        <f>J28+K28+L28</f>
        <v>0</v>
      </c>
      <c r="N28" s="581" t="s">
        <v>933</v>
      </c>
      <c r="O28" s="34"/>
    </row>
    <row r="29" spans="1:15" s="29" customFormat="1" ht="18" customHeight="1" x14ac:dyDescent="0.25">
      <c r="A29" s="116">
        <v>29</v>
      </c>
      <c r="B29" s="441"/>
      <c r="C29" s="36"/>
      <c r="D29" s="145"/>
      <c r="E29" s="117" t="s">
        <v>253</v>
      </c>
      <c r="F29" s="117"/>
      <c r="G29" s="36"/>
      <c r="H29" s="36"/>
      <c r="I29" s="36"/>
      <c r="J29" s="451"/>
      <c r="K29" s="334">
        <f>SUM(K27:K28)</f>
        <v>4476.1096800000023</v>
      </c>
      <c r="L29" s="451"/>
      <c r="M29" s="451"/>
      <c r="N29" s="451"/>
      <c r="O29" s="34"/>
    </row>
    <row r="30" spans="1:15" s="29" customFormat="1" ht="15" customHeight="1" x14ac:dyDescent="0.25">
      <c r="A30" s="116">
        <v>30</v>
      </c>
      <c r="B30" s="441"/>
      <c r="C30" s="143"/>
      <c r="D30" s="145" t="s">
        <v>68</v>
      </c>
      <c r="E30" s="117"/>
      <c r="F30" s="143"/>
      <c r="G30" s="143"/>
      <c r="H30" s="143"/>
      <c r="I30" s="143"/>
      <c r="J30" s="451"/>
      <c r="K30" s="451"/>
      <c r="L30" s="451"/>
      <c r="M30" s="451"/>
      <c r="N30" s="451"/>
      <c r="O30" s="34"/>
    </row>
    <row r="31" spans="1:15" s="29" customFormat="1" ht="15" customHeight="1" x14ac:dyDescent="0.25">
      <c r="A31" s="116">
        <v>31</v>
      </c>
      <c r="B31" s="441"/>
      <c r="C31" s="36"/>
      <c r="D31" s="145"/>
      <c r="E31" s="117"/>
      <c r="F31" s="144" t="s">
        <v>251</v>
      </c>
      <c r="G31" s="36"/>
      <c r="H31" s="36"/>
      <c r="I31" s="36"/>
      <c r="J31" s="451"/>
      <c r="K31" s="3">
        <f>'S6b.Actual Expenditure Opex'!R14</f>
        <v>7295.1132999999991</v>
      </c>
      <c r="L31" s="451"/>
      <c r="M31" s="451"/>
      <c r="N31" s="451"/>
      <c r="O31" s="34"/>
    </row>
    <row r="32" spans="1:15" s="29" customFormat="1" ht="15" customHeight="1" x14ac:dyDescent="0.25">
      <c r="A32" s="116">
        <v>32</v>
      </c>
      <c r="B32" s="441"/>
      <c r="C32" s="36"/>
      <c r="D32" s="145"/>
      <c r="E32" s="117"/>
      <c r="F32" s="144" t="s">
        <v>252</v>
      </c>
      <c r="G32" s="36"/>
      <c r="H32" s="36"/>
      <c r="I32" s="36"/>
      <c r="J32" s="581">
        <v>0</v>
      </c>
      <c r="K32" s="581">
        <v>0</v>
      </c>
      <c r="L32" s="581">
        <v>0</v>
      </c>
      <c r="M32" s="334">
        <f>J32+K32+L32</f>
        <v>0</v>
      </c>
      <c r="N32" s="581" t="s">
        <v>933</v>
      </c>
      <c r="O32" s="34"/>
    </row>
    <row r="33" spans="1:15" s="29" customFormat="1" ht="15" customHeight="1" x14ac:dyDescent="0.25">
      <c r="A33" s="116">
        <v>33</v>
      </c>
      <c r="B33" s="441"/>
      <c r="C33" s="36"/>
      <c r="D33" s="145"/>
      <c r="E33" s="117" t="s">
        <v>253</v>
      </c>
      <c r="F33" s="117"/>
      <c r="G33" s="36"/>
      <c r="H33" s="36"/>
      <c r="I33" s="36"/>
      <c r="J33" s="451"/>
      <c r="K33" s="334">
        <f>SUM(K31:K32)</f>
        <v>7295.1132999999991</v>
      </c>
      <c r="L33" s="451"/>
      <c r="M33" s="451"/>
      <c r="N33" s="451"/>
      <c r="O33" s="34"/>
    </row>
    <row r="34" spans="1:15" ht="13.5" thickBot="1" x14ac:dyDescent="0.25">
      <c r="A34" s="116">
        <v>34</v>
      </c>
      <c r="B34" s="441"/>
      <c r="C34" s="144"/>
      <c r="D34" s="144"/>
      <c r="E34" s="144"/>
      <c r="F34" s="441"/>
      <c r="G34" s="441"/>
      <c r="H34" s="441"/>
      <c r="I34" s="441"/>
      <c r="J34" s="451"/>
      <c r="K34" s="451"/>
      <c r="L34" s="451"/>
      <c r="M34" s="451"/>
      <c r="N34" s="451"/>
      <c r="O34" s="34"/>
    </row>
    <row r="35" spans="1:15" s="29" customFormat="1" ht="15" customHeight="1" thickBot="1" x14ac:dyDescent="0.3">
      <c r="A35" s="116">
        <v>35</v>
      </c>
      <c r="B35" s="441"/>
      <c r="C35" s="441"/>
      <c r="D35" s="145" t="s">
        <v>267</v>
      </c>
      <c r="E35" s="145"/>
      <c r="F35" s="441"/>
      <c r="G35" s="441"/>
      <c r="H35" s="441"/>
      <c r="I35" s="441"/>
      <c r="J35" s="451"/>
      <c r="K35" s="457">
        <f>SUM(K11,K15,K19,K23,K27,K31)</f>
        <v>17171.222979999999</v>
      </c>
      <c r="L35" s="451"/>
      <c r="M35" s="451"/>
      <c r="N35" s="451"/>
      <c r="O35" s="34"/>
    </row>
    <row r="36" spans="1:15" s="29" customFormat="1" ht="15" customHeight="1" thickBot="1" x14ac:dyDescent="0.3">
      <c r="A36" s="116">
        <v>36</v>
      </c>
      <c r="B36" s="441"/>
      <c r="C36" s="441"/>
      <c r="D36" s="145" t="s">
        <v>268</v>
      </c>
      <c r="E36" s="145"/>
      <c r="F36" s="441"/>
      <c r="G36" s="441"/>
      <c r="H36" s="441"/>
      <c r="I36" s="441"/>
      <c r="J36" s="457">
        <f>SUM(J12,J16,J20,J24,J28,J32)</f>
        <v>0</v>
      </c>
      <c r="K36" s="457">
        <f>SUM(K12,K16,K20,K24,K28,K32)</f>
        <v>0</v>
      </c>
      <c r="L36" s="457">
        <f>SUM(L12,L16,L20,L24,L28,L32)</f>
        <v>0</v>
      </c>
      <c r="M36" s="457">
        <f>SUM(M12,M16,M20,M24,M28,M32)</f>
        <v>0</v>
      </c>
      <c r="N36" s="457">
        <f>SUM(N12,N16,N20,N24,N28,N32)</f>
        <v>0</v>
      </c>
      <c r="O36" s="34"/>
    </row>
    <row r="37" spans="1:15" s="29" customFormat="1" ht="15" customHeight="1" thickBot="1" x14ac:dyDescent="0.3">
      <c r="A37" s="116">
        <v>37</v>
      </c>
      <c r="B37" s="441"/>
      <c r="C37" s="441"/>
      <c r="D37" s="301" t="s">
        <v>117</v>
      </c>
      <c r="E37" s="301"/>
      <c r="F37" s="292"/>
      <c r="G37" s="441"/>
      <c r="H37" s="441"/>
      <c r="I37" s="441"/>
      <c r="J37" s="451"/>
      <c r="K37" s="457">
        <f>K35+K36</f>
        <v>17171.222979999999</v>
      </c>
      <c r="L37" s="451"/>
      <c r="M37" s="451"/>
      <c r="N37" s="451"/>
      <c r="O37" s="34"/>
    </row>
    <row r="38" spans="1:15" s="135" customFormat="1" ht="15" customHeight="1" x14ac:dyDescent="0.25">
      <c r="A38" s="208">
        <v>38</v>
      </c>
      <c r="B38" s="441"/>
      <c r="C38" s="441"/>
      <c r="D38" s="145"/>
      <c r="E38" s="145"/>
      <c r="F38" s="441"/>
      <c r="G38" s="441"/>
      <c r="H38" s="441"/>
      <c r="I38" s="441"/>
      <c r="J38" s="441"/>
      <c r="K38" s="441"/>
      <c r="L38" s="441"/>
      <c r="M38" s="441"/>
      <c r="N38" s="441"/>
      <c r="O38" s="34"/>
    </row>
    <row r="39" spans="1:15" s="29" customFormat="1" ht="30" customHeight="1" x14ac:dyDescent="0.3">
      <c r="A39" s="208">
        <v>39</v>
      </c>
      <c r="B39" s="36"/>
      <c r="C39" s="142" t="s">
        <v>532</v>
      </c>
      <c r="D39" s="441"/>
      <c r="E39" s="441"/>
      <c r="F39" s="441"/>
      <c r="G39" s="441"/>
      <c r="H39" s="441"/>
      <c r="I39" s="441"/>
      <c r="J39" s="441"/>
      <c r="K39" s="441"/>
      <c r="L39" s="441"/>
      <c r="M39" s="441"/>
      <c r="N39" s="441"/>
      <c r="O39" s="34"/>
    </row>
    <row r="40" spans="1:15" s="29" customFormat="1" ht="30" customHeight="1" x14ac:dyDescent="0.3">
      <c r="A40" s="208">
        <v>40</v>
      </c>
      <c r="B40" s="36"/>
      <c r="C40" s="142"/>
      <c r="D40" s="145" t="s">
        <v>376</v>
      </c>
      <c r="E40" s="441"/>
      <c r="F40" s="441"/>
      <c r="G40" s="441"/>
      <c r="H40" s="441"/>
      <c r="I40" s="441"/>
      <c r="J40" s="441"/>
      <c r="K40" s="146" t="s">
        <v>127</v>
      </c>
      <c r="L40" s="441"/>
      <c r="M40" s="441"/>
      <c r="N40" s="441"/>
      <c r="O40" s="34"/>
    </row>
    <row r="41" spans="1:15" s="29" customFormat="1" ht="18" customHeight="1" x14ac:dyDescent="0.25">
      <c r="A41" s="208">
        <v>41</v>
      </c>
      <c r="B41" s="441"/>
      <c r="C41" s="143"/>
      <c r="D41" s="145" t="s">
        <v>379</v>
      </c>
      <c r="E41" s="117"/>
      <c r="F41" s="143"/>
      <c r="G41" s="143"/>
      <c r="H41" s="143"/>
      <c r="I41" s="143"/>
      <c r="J41" s="441"/>
      <c r="K41" s="441"/>
      <c r="L41" s="441"/>
      <c r="M41" s="441"/>
      <c r="N41" s="441"/>
      <c r="O41" s="34"/>
    </row>
    <row r="42" spans="1:15" s="29" customFormat="1" ht="15" customHeight="1" x14ac:dyDescent="0.25">
      <c r="A42" s="208">
        <v>42</v>
      </c>
      <c r="B42" s="441"/>
      <c r="C42" s="36"/>
      <c r="D42" s="145"/>
      <c r="E42" s="117"/>
      <c r="F42" s="144" t="s">
        <v>251</v>
      </c>
      <c r="G42" s="36"/>
      <c r="H42" s="36"/>
      <c r="I42" s="36"/>
      <c r="J42" s="441"/>
      <c r="K42" s="3">
        <f>'S3.Regulatory Profit'!S35+'S3.Regulatory Profit'!S36+'S3.Regulatory Profit'!S37</f>
        <v>284.33699999999999</v>
      </c>
      <c r="L42" s="441"/>
      <c r="M42" s="441"/>
      <c r="N42" s="441"/>
      <c r="O42" s="34"/>
    </row>
    <row r="43" spans="1:15" s="29" customFormat="1" ht="15" customHeight="1" x14ac:dyDescent="0.25">
      <c r="A43" s="208">
        <v>43</v>
      </c>
      <c r="B43" s="441"/>
      <c r="C43" s="36"/>
      <c r="D43" s="145"/>
      <c r="E43" s="117"/>
      <c r="F43" s="144" t="s">
        <v>252</v>
      </c>
      <c r="G43" s="36"/>
      <c r="H43" s="36"/>
      <c r="I43" s="36"/>
      <c r="J43" s="441"/>
      <c r="K43" s="3">
        <v>0</v>
      </c>
      <c r="L43" s="441"/>
      <c r="M43" s="441"/>
      <c r="N43" s="441"/>
      <c r="O43" s="34"/>
    </row>
    <row r="44" spans="1:15" s="29" customFormat="1" ht="15" customHeight="1" x14ac:dyDescent="0.25">
      <c r="A44" s="208">
        <v>44</v>
      </c>
      <c r="B44" s="441"/>
      <c r="C44" s="36"/>
      <c r="D44" s="145"/>
      <c r="E44" s="117" t="s">
        <v>253</v>
      </c>
      <c r="F44" s="117"/>
      <c r="G44" s="36"/>
      <c r="H44" s="36"/>
      <c r="I44" s="36"/>
      <c r="J44" s="441"/>
      <c r="K44" s="334">
        <f>SUM(K42:K43)</f>
        <v>284.33699999999999</v>
      </c>
      <c r="L44" s="441"/>
      <c r="M44" s="441"/>
      <c r="N44" s="441"/>
      <c r="O44" s="34"/>
    </row>
    <row r="45" spans="1:15" s="29" customFormat="1" ht="18" customHeight="1" x14ac:dyDescent="0.25">
      <c r="A45" s="208">
        <v>45</v>
      </c>
      <c r="B45" s="441"/>
      <c r="C45" s="143"/>
      <c r="D45" s="145" t="s">
        <v>380</v>
      </c>
      <c r="E45" s="117"/>
      <c r="F45" s="143"/>
      <c r="G45" s="143"/>
      <c r="H45" s="143"/>
      <c r="I45" s="143"/>
      <c r="J45" s="441"/>
      <c r="K45" s="451"/>
      <c r="L45" s="441"/>
      <c r="M45" s="441"/>
      <c r="N45" s="441"/>
      <c r="O45" s="34"/>
    </row>
    <row r="46" spans="1:15" s="29" customFormat="1" ht="15" customHeight="1" x14ac:dyDescent="0.25">
      <c r="A46" s="208">
        <v>46</v>
      </c>
      <c r="B46" s="441"/>
      <c r="C46" s="36"/>
      <c r="D46" s="145"/>
      <c r="E46" s="117"/>
      <c r="F46" s="144" t="s">
        <v>251</v>
      </c>
      <c r="G46" s="36"/>
      <c r="H46" s="36"/>
      <c r="I46" s="36"/>
      <c r="J46" s="441"/>
      <c r="K46" s="3">
        <f>'S3.Regulatory Profit'!S40+'S3.Regulatory Profit'!S41+'S3.Regulatory Profit'!S42</f>
        <v>17850.758999999998</v>
      </c>
      <c r="L46" s="441"/>
      <c r="M46" s="441"/>
      <c r="N46" s="441"/>
      <c r="O46" s="34"/>
    </row>
    <row r="47" spans="1:15" s="29" customFormat="1" ht="15" customHeight="1" x14ac:dyDescent="0.25">
      <c r="A47" s="208">
        <v>47</v>
      </c>
      <c r="B47" s="441"/>
      <c r="C47" s="36"/>
      <c r="D47" s="145"/>
      <c r="E47" s="117"/>
      <c r="F47" s="144" t="s">
        <v>252</v>
      </c>
      <c r="G47" s="36"/>
      <c r="H47" s="36"/>
      <c r="I47" s="36"/>
      <c r="J47" s="441"/>
      <c r="K47" s="3">
        <v>0</v>
      </c>
      <c r="L47" s="441"/>
      <c r="M47" s="441"/>
      <c r="N47" s="441"/>
      <c r="O47" s="34"/>
    </row>
    <row r="48" spans="1:15" s="29" customFormat="1" ht="15" customHeight="1" x14ac:dyDescent="0.25">
      <c r="A48" s="208">
        <v>48</v>
      </c>
      <c r="B48" s="441"/>
      <c r="C48" s="36"/>
      <c r="D48" s="145"/>
      <c r="E48" s="117" t="s">
        <v>253</v>
      </c>
      <c r="F48" s="117"/>
      <c r="G48" s="36"/>
      <c r="H48" s="36"/>
      <c r="I48" s="36"/>
      <c r="J48" s="441"/>
      <c r="K48" s="334">
        <f>SUM(K46:K47)</f>
        <v>17850.758999999998</v>
      </c>
      <c r="L48" s="441"/>
      <c r="M48" s="441"/>
      <c r="N48" s="441"/>
      <c r="O48" s="34"/>
    </row>
    <row r="49" spans="1:15" x14ac:dyDescent="0.2">
      <c r="A49" s="208">
        <v>49</v>
      </c>
      <c r="B49" s="441"/>
      <c r="C49" s="36"/>
      <c r="D49" s="36"/>
      <c r="E49" s="36"/>
      <c r="F49" s="36"/>
      <c r="G49" s="36"/>
      <c r="H49" s="36"/>
      <c r="I49" s="36"/>
      <c r="J49" s="441"/>
      <c r="K49" s="441"/>
      <c r="L49" s="441"/>
      <c r="M49" s="441"/>
      <c r="N49" s="441"/>
      <c r="O49" s="34"/>
    </row>
    <row r="50" spans="1:15" s="29" customFormat="1" ht="30" customHeight="1" x14ac:dyDescent="0.3">
      <c r="A50" s="208">
        <v>50</v>
      </c>
      <c r="B50" s="36"/>
      <c r="C50" s="142" t="s">
        <v>669</v>
      </c>
      <c r="D50" s="441"/>
      <c r="E50" s="441"/>
      <c r="F50" s="441"/>
      <c r="G50" s="441"/>
      <c r="H50" s="441"/>
      <c r="I50" s="441"/>
      <c r="J50" s="441"/>
      <c r="K50" s="441"/>
      <c r="L50" s="441"/>
      <c r="M50" s="441"/>
      <c r="N50" s="441"/>
      <c r="O50" s="34"/>
    </row>
    <row r="51" spans="1:15" s="29" customFormat="1" ht="15" customHeight="1" x14ac:dyDescent="0.2">
      <c r="A51" s="208">
        <v>51</v>
      </c>
      <c r="B51" s="441"/>
      <c r="C51" s="451"/>
      <c r="D51" s="451"/>
      <c r="E51" s="117"/>
      <c r="F51" s="451"/>
      <c r="G51" s="451"/>
      <c r="H51" s="451"/>
      <c r="I51" s="451"/>
      <c r="J51" s="451"/>
      <c r="K51" s="141"/>
      <c r="L51" s="654" t="s">
        <v>127</v>
      </c>
      <c r="M51" s="654"/>
      <c r="N51" s="441"/>
      <c r="O51" s="34"/>
    </row>
    <row r="52" spans="1:15" s="29" customFormat="1" ht="15" customHeight="1" x14ac:dyDescent="0.2">
      <c r="A52" s="208">
        <v>52</v>
      </c>
      <c r="B52" s="441"/>
      <c r="C52" s="65"/>
      <c r="D52" s="65"/>
      <c r="E52" s="117" t="s">
        <v>269</v>
      </c>
      <c r="F52" s="65"/>
      <c r="G52" s="65"/>
      <c r="H52" s="65"/>
      <c r="I52" s="65"/>
      <c r="J52" s="451"/>
      <c r="K52" s="141"/>
      <c r="L52" s="379" t="s">
        <v>121</v>
      </c>
      <c r="M52" s="379" t="s">
        <v>256</v>
      </c>
      <c r="N52" s="441"/>
      <c r="O52" s="34"/>
    </row>
    <row r="53" spans="1:15" s="29" customFormat="1" ht="15" customHeight="1" x14ac:dyDescent="0.2">
      <c r="A53" s="208">
        <v>53</v>
      </c>
      <c r="B53" s="441"/>
      <c r="C53" s="65"/>
      <c r="D53" s="65"/>
      <c r="E53" s="117"/>
      <c r="F53" s="144" t="s">
        <v>270</v>
      </c>
      <c r="G53" s="65"/>
      <c r="H53" s="583" t="s">
        <v>932</v>
      </c>
      <c r="I53" s="65"/>
      <c r="J53" s="209"/>
      <c r="K53" s="451" t="s">
        <v>258</v>
      </c>
      <c r="L53" s="581">
        <v>0</v>
      </c>
      <c r="M53" s="581">
        <v>0</v>
      </c>
      <c r="N53" s="441"/>
      <c r="O53" s="34"/>
    </row>
    <row r="54" spans="1:15" s="29" customFormat="1" ht="15" customHeight="1" thickBot="1" x14ac:dyDescent="0.25">
      <c r="A54" s="208">
        <v>54</v>
      </c>
      <c r="B54" s="441"/>
      <c r="C54" s="65"/>
      <c r="D54" s="65"/>
      <c r="E54" s="117"/>
      <c r="F54" s="144" t="s">
        <v>259</v>
      </c>
      <c r="G54" s="65"/>
      <c r="H54" s="583" t="s">
        <v>932</v>
      </c>
      <c r="I54" s="65"/>
      <c r="J54" s="209"/>
      <c r="K54" s="451" t="s">
        <v>260</v>
      </c>
      <c r="L54" s="581">
        <v>0</v>
      </c>
      <c r="M54" s="581">
        <v>0</v>
      </c>
      <c r="N54" s="441"/>
      <c r="O54" s="34"/>
    </row>
    <row r="55" spans="1:15" s="29" customFormat="1" ht="15" customHeight="1" thickBot="1" x14ac:dyDescent="0.25">
      <c r="A55" s="208">
        <v>55</v>
      </c>
      <c r="B55" s="441"/>
      <c r="C55" s="65"/>
      <c r="D55" s="65"/>
      <c r="E55" s="117"/>
      <c r="F55" s="144" t="s">
        <v>261</v>
      </c>
      <c r="G55" s="65"/>
      <c r="H55" s="583" t="s">
        <v>932</v>
      </c>
      <c r="I55" s="65"/>
      <c r="J55" s="209"/>
      <c r="K55" s="451" t="s">
        <v>262</v>
      </c>
      <c r="L55" s="336">
        <f>L53-L54</f>
        <v>0</v>
      </c>
      <c r="M55" s="336">
        <f>M53-M54</f>
        <v>0</v>
      </c>
      <c r="N55" s="441"/>
      <c r="O55" s="34"/>
    </row>
    <row r="56" spans="1:15" s="29" customFormat="1" ht="15" customHeight="1" x14ac:dyDescent="0.2">
      <c r="A56" s="208">
        <v>56</v>
      </c>
      <c r="B56" s="441"/>
      <c r="C56" s="65"/>
      <c r="D56" s="65"/>
      <c r="E56" s="117"/>
      <c r="F56" s="144"/>
      <c r="G56" s="65"/>
      <c r="H56" s="65"/>
      <c r="I56" s="65"/>
      <c r="J56" s="65"/>
      <c r="K56" s="36"/>
      <c r="L56" s="441"/>
      <c r="M56" s="441"/>
      <c r="N56" s="441"/>
      <c r="O56" s="34"/>
    </row>
    <row r="57" spans="1:15" s="29" customFormat="1" ht="15" customHeight="1" x14ac:dyDescent="0.2">
      <c r="A57" s="208">
        <v>57</v>
      </c>
      <c r="B57" s="441"/>
      <c r="C57" s="65"/>
      <c r="D57" s="65"/>
      <c r="E57" s="117"/>
      <c r="F57" s="144" t="s">
        <v>263</v>
      </c>
      <c r="G57" s="65"/>
      <c r="H57" s="648" t="s">
        <v>934</v>
      </c>
      <c r="I57" s="649"/>
      <c r="J57" s="649"/>
      <c r="K57" s="649"/>
      <c r="L57" s="649"/>
      <c r="M57" s="650"/>
      <c r="N57" s="441"/>
      <c r="O57" s="34"/>
    </row>
    <row r="58" spans="1:15" ht="15" customHeight="1" x14ac:dyDescent="0.2">
      <c r="A58" s="208">
        <v>58</v>
      </c>
      <c r="B58" s="441"/>
      <c r="C58" s="144"/>
      <c r="D58" s="451"/>
      <c r="E58" s="451"/>
      <c r="F58" s="144"/>
      <c r="G58" s="451"/>
      <c r="H58" s="651"/>
      <c r="I58" s="652"/>
      <c r="J58" s="652"/>
      <c r="K58" s="652"/>
      <c r="L58" s="652"/>
      <c r="M58" s="653"/>
      <c r="N58" s="441"/>
      <c r="O58" s="34"/>
    </row>
    <row r="59" spans="1:15" s="269" customFormat="1" ht="15" customHeight="1" x14ac:dyDescent="0.2">
      <c r="A59" s="208">
        <v>59</v>
      </c>
      <c r="B59" s="441"/>
      <c r="C59" s="144"/>
      <c r="D59" s="451"/>
      <c r="E59" s="451"/>
      <c r="F59" s="144"/>
      <c r="G59" s="451"/>
      <c r="H59" s="451"/>
      <c r="I59" s="144"/>
      <c r="J59" s="451"/>
      <c r="K59" s="144"/>
      <c r="L59" s="144"/>
      <c r="M59" s="144"/>
      <c r="N59" s="441"/>
      <c r="O59" s="34"/>
    </row>
    <row r="60" spans="1:15" s="126" customFormat="1" ht="15" customHeight="1" x14ac:dyDescent="0.2">
      <c r="A60" s="208">
        <v>60</v>
      </c>
      <c r="B60" s="441"/>
      <c r="C60" s="144"/>
      <c r="D60" s="451"/>
      <c r="E60" s="451"/>
      <c r="F60" s="144"/>
      <c r="G60" s="451"/>
      <c r="H60" s="451"/>
      <c r="I60" s="144"/>
      <c r="J60" s="451"/>
      <c r="K60" s="144"/>
      <c r="L60" s="654" t="s">
        <v>127</v>
      </c>
      <c r="M60" s="654"/>
      <c r="N60" s="441"/>
      <c r="O60" s="34"/>
    </row>
    <row r="61" spans="1:15" s="29" customFormat="1" ht="15" customHeight="1" x14ac:dyDescent="0.2">
      <c r="A61" s="208">
        <v>61</v>
      </c>
      <c r="B61" s="441"/>
      <c r="C61" s="65"/>
      <c r="D61" s="65"/>
      <c r="E61" s="117" t="s">
        <v>271</v>
      </c>
      <c r="F61" s="65"/>
      <c r="G61" s="65"/>
      <c r="H61" s="65"/>
      <c r="I61" s="65"/>
      <c r="J61" s="451"/>
      <c r="K61" s="141"/>
      <c r="L61" s="379" t="s">
        <v>121</v>
      </c>
      <c r="M61" s="379" t="s">
        <v>256</v>
      </c>
      <c r="N61" s="441"/>
      <c r="O61" s="34"/>
    </row>
    <row r="62" spans="1:15" s="29" customFormat="1" ht="15" customHeight="1" x14ac:dyDescent="0.2">
      <c r="A62" s="208">
        <v>62</v>
      </c>
      <c r="B62" s="441"/>
      <c r="C62" s="65"/>
      <c r="D62" s="65"/>
      <c r="E62" s="117"/>
      <c r="F62" s="144" t="s">
        <v>270</v>
      </c>
      <c r="G62" s="65"/>
      <c r="H62" s="583" t="s">
        <v>932</v>
      </c>
      <c r="I62" s="65"/>
      <c r="J62" s="209"/>
      <c r="K62" s="451" t="s">
        <v>258</v>
      </c>
      <c r="L62" s="581">
        <v>0</v>
      </c>
      <c r="M62" s="581">
        <v>0</v>
      </c>
      <c r="N62" s="441"/>
      <c r="O62" s="34"/>
    </row>
    <row r="63" spans="1:15" s="29" customFormat="1" ht="15" customHeight="1" thickBot="1" x14ac:dyDescent="0.25">
      <c r="A63" s="208">
        <v>63</v>
      </c>
      <c r="B63" s="441"/>
      <c r="C63" s="65"/>
      <c r="D63" s="65"/>
      <c r="E63" s="117"/>
      <c r="F63" s="144" t="s">
        <v>259</v>
      </c>
      <c r="G63" s="65"/>
      <c r="H63" s="583" t="s">
        <v>932</v>
      </c>
      <c r="I63" s="65"/>
      <c r="J63" s="209"/>
      <c r="K63" s="451" t="s">
        <v>260</v>
      </c>
      <c r="L63" s="581">
        <v>0</v>
      </c>
      <c r="M63" s="581">
        <v>0</v>
      </c>
      <c r="N63" s="441"/>
      <c r="O63" s="34"/>
    </row>
    <row r="64" spans="1:15" s="29" customFormat="1" ht="15" customHeight="1" thickBot="1" x14ac:dyDescent="0.25">
      <c r="A64" s="208">
        <v>64</v>
      </c>
      <c r="B64" s="441"/>
      <c r="C64" s="65"/>
      <c r="D64" s="65"/>
      <c r="E64" s="117"/>
      <c r="F64" s="144" t="s">
        <v>261</v>
      </c>
      <c r="G64" s="65"/>
      <c r="H64" s="583" t="s">
        <v>932</v>
      </c>
      <c r="I64" s="65"/>
      <c r="J64" s="209"/>
      <c r="K64" s="451" t="s">
        <v>262</v>
      </c>
      <c r="L64" s="336">
        <f>L62-L63</f>
        <v>0</v>
      </c>
      <c r="M64" s="336">
        <f>M62-M63</f>
        <v>0</v>
      </c>
      <c r="N64" s="441"/>
      <c r="O64" s="34"/>
    </row>
    <row r="65" spans="1:16" s="29" customFormat="1" ht="15" customHeight="1" x14ac:dyDescent="0.2">
      <c r="A65" s="208">
        <v>65</v>
      </c>
      <c r="B65" s="441"/>
      <c r="C65" s="65"/>
      <c r="D65" s="65"/>
      <c r="E65" s="117"/>
      <c r="F65" s="144"/>
      <c r="G65" s="65"/>
      <c r="H65" s="65"/>
      <c r="I65" s="65"/>
      <c r="J65" s="65"/>
      <c r="K65" s="36"/>
      <c r="L65" s="441"/>
      <c r="M65" s="441"/>
      <c r="N65" s="441"/>
      <c r="O65" s="34"/>
    </row>
    <row r="66" spans="1:16" s="29" customFormat="1" ht="15" customHeight="1" x14ac:dyDescent="0.2">
      <c r="A66" s="208">
        <v>66</v>
      </c>
      <c r="B66" s="441"/>
      <c r="C66" s="65"/>
      <c r="D66" s="65"/>
      <c r="E66" s="117"/>
      <c r="F66" s="144" t="s">
        <v>263</v>
      </c>
      <c r="G66" s="65"/>
      <c r="H66" s="648" t="s">
        <v>934</v>
      </c>
      <c r="I66" s="649"/>
      <c r="J66" s="649"/>
      <c r="K66" s="649"/>
      <c r="L66" s="649"/>
      <c r="M66" s="650"/>
      <c r="N66" s="441"/>
      <c r="O66" s="34"/>
    </row>
    <row r="67" spans="1:16" ht="15" customHeight="1" x14ac:dyDescent="0.2">
      <c r="A67" s="208">
        <v>67</v>
      </c>
      <c r="B67" s="441"/>
      <c r="C67" s="144"/>
      <c r="D67" s="451"/>
      <c r="E67" s="451"/>
      <c r="F67" s="144"/>
      <c r="G67" s="451"/>
      <c r="H67" s="651"/>
      <c r="I67" s="652"/>
      <c r="J67" s="652"/>
      <c r="K67" s="652"/>
      <c r="L67" s="652"/>
      <c r="M67" s="653"/>
      <c r="N67" s="441"/>
      <c r="O67" s="34"/>
    </row>
    <row r="68" spans="1:16" s="234" customFormat="1" ht="15" customHeight="1" x14ac:dyDescent="0.2">
      <c r="A68" s="208">
        <v>68</v>
      </c>
      <c r="B68" s="249"/>
      <c r="C68" s="247"/>
      <c r="D68" s="249"/>
      <c r="E68" s="249"/>
      <c r="F68" s="247"/>
      <c r="G68" s="249"/>
      <c r="H68" s="249"/>
      <c r="I68" s="249"/>
      <c r="J68" s="112"/>
      <c r="K68" s="242"/>
      <c r="L68" s="242"/>
      <c r="M68" s="242"/>
      <c r="N68" s="242"/>
      <c r="O68" s="245"/>
    </row>
    <row r="69" spans="1:16" s="269" customFormat="1" ht="15" customHeight="1" x14ac:dyDescent="0.2">
      <c r="A69" s="208">
        <v>69</v>
      </c>
      <c r="B69" s="441"/>
      <c r="C69" s="144"/>
      <c r="D69" s="451"/>
      <c r="E69" s="451"/>
      <c r="F69" s="144"/>
      <c r="G69" s="451"/>
      <c r="H69" s="451"/>
      <c r="I69" s="144"/>
      <c r="J69" s="451"/>
      <c r="K69" s="144"/>
      <c r="L69" s="432" t="s">
        <v>127</v>
      </c>
      <c r="M69" s="432"/>
      <c r="N69" s="441"/>
      <c r="O69" s="34"/>
    </row>
    <row r="70" spans="1:16" s="246" customFormat="1" ht="15" customHeight="1" x14ac:dyDescent="0.2">
      <c r="A70" s="208">
        <v>70</v>
      </c>
      <c r="B70" s="242"/>
      <c r="C70" s="243"/>
      <c r="D70" s="243"/>
      <c r="E70" s="244" t="s">
        <v>272</v>
      </c>
      <c r="F70" s="243"/>
      <c r="G70" s="243"/>
      <c r="H70" s="243"/>
      <c r="I70" s="243"/>
      <c r="J70" s="112"/>
      <c r="K70" s="112"/>
      <c r="L70" s="433" t="s">
        <v>121</v>
      </c>
      <c r="M70" s="433" t="s">
        <v>256</v>
      </c>
      <c r="N70" s="242"/>
      <c r="O70" s="245"/>
    </row>
    <row r="71" spans="1:16" s="246" customFormat="1" ht="15" customHeight="1" x14ac:dyDescent="0.2">
      <c r="A71" s="208">
        <v>71</v>
      </c>
      <c r="B71" s="242"/>
      <c r="C71" s="243"/>
      <c r="D71" s="243"/>
      <c r="E71" s="244"/>
      <c r="F71" s="247" t="s">
        <v>270</v>
      </c>
      <c r="G71" s="243"/>
      <c r="H71" s="583" t="s">
        <v>932</v>
      </c>
      <c r="I71" s="243"/>
      <c r="J71" s="112"/>
      <c r="K71" s="112" t="s">
        <v>258</v>
      </c>
      <c r="L71" s="581">
        <v>0</v>
      </c>
      <c r="M71" s="581">
        <v>0</v>
      </c>
      <c r="N71" s="242"/>
      <c r="O71" s="245"/>
    </row>
    <row r="72" spans="1:16" s="246" customFormat="1" ht="15" customHeight="1" thickBot="1" x14ac:dyDescent="0.25">
      <c r="A72" s="208">
        <v>72</v>
      </c>
      <c r="B72" s="242"/>
      <c r="C72" s="243"/>
      <c r="D72" s="243"/>
      <c r="E72" s="244"/>
      <c r="F72" s="247" t="s">
        <v>259</v>
      </c>
      <c r="G72" s="243"/>
      <c r="H72" s="583" t="s">
        <v>932</v>
      </c>
      <c r="I72" s="243"/>
      <c r="J72" s="248"/>
      <c r="K72" s="112" t="s">
        <v>260</v>
      </c>
      <c r="L72" s="581">
        <v>0</v>
      </c>
      <c r="M72" s="581">
        <v>0</v>
      </c>
      <c r="N72" s="242"/>
      <c r="O72" s="245"/>
    </row>
    <row r="73" spans="1:16" s="246" customFormat="1" ht="15" customHeight="1" thickBot="1" x14ac:dyDescent="0.25">
      <c r="A73" s="208">
        <v>73</v>
      </c>
      <c r="B73" s="242"/>
      <c r="C73" s="243"/>
      <c r="D73" s="243"/>
      <c r="E73" s="244"/>
      <c r="F73" s="247" t="s">
        <v>261</v>
      </c>
      <c r="G73" s="243"/>
      <c r="H73" s="583" t="s">
        <v>932</v>
      </c>
      <c r="I73" s="243"/>
      <c r="J73" s="248"/>
      <c r="K73" s="112" t="s">
        <v>262</v>
      </c>
      <c r="L73" s="336">
        <f>L71-L72</f>
        <v>0</v>
      </c>
      <c r="M73" s="336">
        <f>M71-M72</f>
        <v>0</v>
      </c>
      <c r="N73" s="242"/>
      <c r="O73" s="245"/>
    </row>
    <row r="74" spans="1:16" s="246" customFormat="1" ht="15" customHeight="1" x14ac:dyDescent="0.2">
      <c r="A74" s="208">
        <v>74</v>
      </c>
      <c r="B74" s="242"/>
      <c r="C74" s="243"/>
      <c r="D74" s="243"/>
      <c r="E74" s="244"/>
      <c r="F74" s="247"/>
      <c r="G74" s="243"/>
      <c r="H74" s="243"/>
      <c r="I74" s="243"/>
      <c r="J74" s="243"/>
      <c r="K74" s="249"/>
      <c r="L74" s="242"/>
      <c r="M74" s="242"/>
      <c r="N74" s="242"/>
      <c r="O74" s="245"/>
    </row>
    <row r="75" spans="1:16" s="246" customFormat="1" ht="15" customHeight="1" x14ac:dyDescent="0.2">
      <c r="A75" s="208">
        <v>75</v>
      </c>
      <c r="B75" s="242"/>
      <c r="C75" s="243"/>
      <c r="D75" s="243"/>
      <c r="E75" s="244"/>
      <c r="F75" s="247" t="s">
        <v>263</v>
      </c>
      <c r="G75" s="243"/>
      <c r="H75" s="648" t="s">
        <v>934</v>
      </c>
      <c r="I75" s="649"/>
      <c r="J75" s="649"/>
      <c r="K75" s="649"/>
      <c r="L75" s="649"/>
      <c r="M75" s="650"/>
      <c r="N75" s="242"/>
      <c r="O75" s="245"/>
    </row>
    <row r="76" spans="1:16" s="246" customFormat="1" ht="15" customHeight="1" x14ac:dyDescent="0.2">
      <c r="A76" s="208">
        <v>76</v>
      </c>
      <c r="B76" s="242"/>
      <c r="C76" s="243"/>
      <c r="D76" s="112"/>
      <c r="E76" s="112"/>
      <c r="F76" s="112"/>
      <c r="G76" s="112"/>
      <c r="H76" s="651"/>
      <c r="I76" s="652"/>
      <c r="J76" s="652"/>
      <c r="K76" s="652"/>
      <c r="L76" s="652"/>
      <c r="M76" s="653"/>
      <c r="N76" s="242"/>
      <c r="O76" s="245"/>
    </row>
    <row r="77" spans="1:16" s="236" customFormat="1" ht="15" customHeight="1" x14ac:dyDescent="0.2">
      <c r="A77" s="566">
        <v>77</v>
      </c>
      <c r="B77" s="232"/>
      <c r="C77" s="235"/>
      <c r="D77" s="231"/>
      <c r="E77" s="231"/>
      <c r="F77" s="231"/>
      <c r="G77" s="231"/>
      <c r="H77" s="231"/>
      <c r="I77" s="231"/>
      <c r="J77" s="231"/>
      <c r="K77" s="231"/>
      <c r="L77" s="231"/>
      <c r="M77" s="231"/>
      <c r="N77" s="232"/>
      <c r="O77" s="233"/>
      <c r="P77" s="537" t="s">
        <v>894</v>
      </c>
    </row>
    <row r="78" spans="1:16" ht="15" customHeight="1" x14ac:dyDescent="0.25">
      <c r="A78" s="208">
        <v>78</v>
      </c>
      <c r="B78" s="161"/>
      <c r="C78" s="647" t="s">
        <v>390</v>
      </c>
      <c r="D78" s="647"/>
      <c r="E78" s="647"/>
      <c r="F78" s="647"/>
      <c r="G78" s="647"/>
      <c r="H78" s="647"/>
      <c r="I78" s="647"/>
      <c r="J78" s="647"/>
      <c r="K78" s="647"/>
      <c r="L78" s="647"/>
      <c r="M78" s="647"/>
      <c r="N78" s="647"/>
      <c r="O78" s="34"/>
    </row>
    <row r="79" spans="1:16" s="250" customFormat="1" ht="15" customHeight="1" x14ac:dyDescent="0.25">
      <c r="A79" s="208">
        <v>79</v>
      </c>
      <c r="B79" s="254"/>
      <c r="C79" s="316" t="s">
        <v>670</v>
      </c>
      <c r="D79" s="316"/>
      <c r="E79" s="316"/>
      <c r="F79" s="316"/>
      <c r="G79" s="444"/>
      <c r="H79" s="444"/>
      <c r="I79" s="444"/>
      <c r="J79" s="444"/>
      <c r="K79" s="444"/>
      <c r="L79" s="444"/>
      <c r="M79" s="444"/>
      <c r="N79" s="444"/>
      <c r="O79" s="34"/>
    </row>
    <row r="80" spans="1:16" ht="12.75" customHeight="1" x14ac:dyDescent="0.2">
      <c r="A80" s="39"/>
      <c r="B80" s="41"/>
      <c r="C80" s="40"/>
      <c r="D80" s="40"/>
      <c r="E80" s="40"/>
      <c r="F80" s="40"/>
      <c r="G80" s="40"/>
      <c r="H80" s="40"/>
      <c r="I80" s="40"/>
      <c r="J80" s="40"/>
      <c r="K80" s="40"/>
      <c r="L80" s="41"/>
      <c r="M80" s="40"/>
      <c r="N80" s="41"/>
      <c r="O80" s="47"/>
    </row>
  </sheetData>
  <sheetProtection sheet="1" objects="1" formatRows="0" insertRows="0"/>
  <customSheetViews>
    <customSheetView guid="{21F2E024-704F-4E93-AC63-213755ECFFE0}" scale="70" showPageBreaks="1" showGridLines="0" fitToPage="1" printArea="1" view="pageBreakPreview">
      <pane ySplit="7" topLeftCell="A8" activePane="bottomLeft" state="frozen"/>
      <selection pane="bottomLeft"/>
      <pageMargins left="0.70866141732283472" right="0.70866141732283472" top="0.74803149606299213" bottom="0.74803149606299213" header="0.31496062992125989" footer="0.31496062992125989"/>
      <pageSetup paperSize="9" scale="50" fitToHeight="0" orientation="portrait" r:id="rId1"/>
      <headerFooter>
        <oddHeader>&amp;C&amp;"Arial"&amp;10 Commerce Commission Information Disclosure Template</oddHeader>
        <oddFooter>&amp;L&amp;"Arial"&amp;10 &amp;F&amp;C&amp;"Arial"&amp;10 &amp;A&amp;R&amp;"Arial"&amp;10 &amp;P</oddFooter>
      </headerFooter>
    </customSheetView>
  </customSheetViews>
  <mergeCells count="10">
    <mergeCell ref="L2:N2"/>
    <mergeCell ref="L3:N3"/>
    <mergeCell ref="C8:D9"/>
    <mergeCell ref="A5:N5"/>
    <mergeCell ref="C78:N78"/>
    <mergeCell ref="H66:M67"/>
    <mergeCell ref="H75:M76"/>
    <mergeCell ref="H57:M58"/>
    <mergeCell ref="L51:M51"/>
    <mergeCell ref="L60:M60"/>
  </mergeCells>
  <dataValidations count="1">
    <dataValidation allowBlank="1" showInputMessage="1" showErrorMessage="1" prompt="Please enter text" sqref="H53:H55 H71:H73 H62:H64 H75:M76 H66:M67 H57:M58"/>
  </dataValidations>
  <pageMargins left="0.70866141732283472" right="0.70866141732283472" top="0.74803149606299213" bottom="0.74803149606299213" header="0.31496062992125984" footer="0.31496062992125984"/>
  <pageSetup paperSize="9" scale="58" fitToHeight="2" orientation="landscape" r:id="rId2"/>
  <headerFooter alignWithMargins="0">
    <oddHeader>&amp;CCommerce Commission Information Disclosure Template</oddHeader>
    <oddFooter>&amp;L&amp;F&amp;C&amp;P&amp;R&amp;A</oddFooter>
  </headerFooter>
  <rowBreaks count="1" manualBreakCount="1">
    <brk id="38"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9CCFF"/>
    <pageSetUpPr fitToPage="1"/>
  </sheetPr>
  <dimension ref="A1:O81"/>
  <sheetViews>
    <sheetView showGridLines="0" zoomScaleNormal="100" zoomScaleSheetLayoutView="100" workbookViewId="0">
      <selection sqref="A1:XFD1048576"/>
    </sheetView>
  </sheetViews>
  <sheetFormatPr defaultColWidth="9.140625" defaultRowHeight="12.75" x14ac:dyDescent="0.2"/>
  <cols>
    <col min="1" max="1" width="4.7109375" style="27" customWidth="1"/>
    <col min="2" max="2" width="3.140625" style="27" customWidth="1"/>
    <col min="3" max="3" width="6.140625" style="27" customWidth="1"/>
    <col min="4" max="5" width="2.28515625" style="27" customWidth="1"/>
    <col min="6" max="6" width="27.85546875" style="27" customWidth="1"/>
    <col min="7" max="7" width="10.5703125" style="27" customWidth="1"/>
    <col min="8" max="8" width="40.7109375" style="27" customWidth="1"/>
    <col min="9" max="9" width="9" style="27" customWidth="1"/>
    <col min="10" max="10" width="12" style="27" customWidth="1"/>
    <col min="11" max="11" width="19.28515625" style="27" customWidth="1"/>
    <col min="12" max="12" width="16.140625" style="27" customWidth="1"/>
    <col min="13" max="13" width="21" style="27" customWidth="1"/>
    <col min="14" max="14" width="2.7109375" style="27" customWidth="1"/>
    <col min="15" max="15" width="14.42578125" style="214" bestFit="1" customWidth="1"/>
    <col min="16" max="16384" width="9.140625" style="27"/>
  </cols>
  <sheetData>
    <row r="1" spans="1:15" s="33" customFormat="1" ht="15" customHeight="1" x14ac:dyDescent="0.3">
      <c r="A1" s="554"/>
      <c r="B1" s="546"/>
      <c r="C1" s="546"/>
      <c r="D1" s="546"/>
      <c r="E1" s="546"/>
      <c r="F1" s="546"/>
      <c r="G1" s="546"/>
      <c r="H1" s="546"/>
      <c r="I1" s="546"/>
      <c r="J1" s="546"/>
      <c r="K1" s="546"/>
      <c r="L1" s="546"/>
      <c r="M1" s="546"/>
      <c r="N1" s="552"/>
      <c r="O1" s="214"/>
    </row>
    <row r="2" spans="1:15" s="33" customFormat="1" ht="18" customHeight="1" x14ac:dyDescent="0.3">
      <c r="A2" s="48"/>
      <c r="B2" s="63"/>
      <c r="C2" s="49"/>
      <c r="D2" s="49"/>
      <c r="E2" s="49"/>
      <c r="F2" s="49"/>
      <c r="G2" s="49"/>
      <c r="H2" s="49"/>
      <c r="I2" s="49"/>
      <c r="J2" s="94" t="s">
        <v>8</v>
      </c>
      <c r="K2" s="614" t="str">
        <f>IF(NOT(ISBLANK(CoverSheet!$C$8)),CoverSheet!$C$8,"")</f>
        <v>Alpine Energy Limited</v>
      </c>
      <c r="L2" s="615"/>
      <c r="M2" s="616"/>
      <c r="N2" s="64"/>
      <c r="O2" s="214"/>
    </row>
    <row r="3" spans="1:15" s="33" customFormat="1" ht="18" customHeight="1" x14ac:dyDescent="0.3">
      <c r="A3" s="48"/>
      <c r="B3" s="63"/>
      <c r="C3" s="49"/>
      <c r="D3" s="49"/>
      <c r="E3" s="49"/>
      <c r="F3" s="49"/>
      <c r="G3" s="49"/>
      <c r="H3" s="49"/>
      <c r="I3" s="49"/>
      <c r="J3" s="94" t="s">
        <v>393</v>
      </c>
      <c r="K3" s="619">
        <f>IF(ISNUMBER(CoverSheet!$C$12),CoverSheet!$C$12,"")</f>
        <v>43190</v>
      </c>
      <c r="L3" s="620"/>
      <c r="M3" s="621"/>
      <c r="N3" s="64"/>
      <c r="O3" s="214"/>
    </row>
    <row r="4" spans="1:15" s="33" customFormat="1" ht="21" x14ac:dyDescent="0.35">
      <c r="A4" s="545" t="s">
        <v>524</v>
      </c>
      <c r="B4" s="49"/>
      <c r="C4" s="49"/>
      <c r="D4" s="49"/>
      <c r="E4" s="49"/>
      <c r="F4" s="49"/>
      <c r="G4" s="49"/>
      <c r="H4" s="49"/>
      <c r="I4" s="49"/>
      <c r="J4" s="49"/>
      <c r="K4" s="452"/>
      <c r="L4" s="49"/>
      <c r="M4" s="49"/>
      <c r="N4" s="52"/>
      <c r="O4" s="214"/>
    </row>
    <row r="5" spans="1:15" ht="54.75" customHeight="1" x14ac:dyDescent="0.2">
      <c r="A5" s="609" t="s">
        <v>547</v>
      </c>
      <c r="B5" s="613"/>
      <c r="C5" s="613"/>
      <c r="D5" s="613"/>
      <c r="E5" s="613"/>
      <c r="F5" s="613"/>
      <c r="G5" s="613"/>
      <c r="H5" s="613"/>
      <c r="I5" s="613"/>
      <c r="J5" s="613"/>
      <c r="K5" s="613"/>
      <c r="L5" s="613"/>
      <c r="M5" s="613"/>
      <c r="N5" s="95"/>
      <c r="O5" s="219"/>
    </row>
    <row r="6" spans="1:15" s="33" customFormat="1" ht="15" customHeight="1" x14ac:dyDescent="0.2">
      <c r="A6" s="87" t="s">
        <v>623</v>
      </c>
      <c r="B6" s="452"/>
      <c r="C6" s="53"/>
      <c r="D6" s="54"/>
      <c r="E6" s="54"/>
      <c r="F6" s="54"/>
      <c r="G6" s="54"/>
      <c r="H6" s="54"/>
      <c r="I6" s="54"/>
      <c r="J6" s="49"/>
      <c r="K6" s="49"/>
      <c r="L6" s="49"/>
      <c r="M6" s="49"/>
      <c r="N6" s="52"/>
      <c r="O6" s="214"/>
    </row>
    <row r="7" spans="1:15" s="6" customFormat="1" ht="30" customHeight="1" x14ac:dyDescent="0.3">
      <c r="A7" s="116">
        <v>7</v>
      </c>
      <c r="B7" s="441"/>
      <c r="C7" s="142" t="s">
        <v>901</v>
      </c>
      <c r="D7" s="441"/>
      <c r="E7" s="441"/>
      <c r="F7" s="441"/>
      <c r="G7" s="441"/>
      <c r="H7" s="441"/>
      <c r="I7" s="441"/>
      <c r="J7" s="441"/>
      <c r="K7" s="441"/>
      <c r="L7" s="441"/>
      <c r="M7" s="441"/>
      <c r="N7" s="34"/>
      <c r="O7" s="217"/>
    </row>
    <row r="8" spans="1:15" s="6" customFormat="1" ht="36" customHeight="1" x14ac:dyDescent="0.2">
      <c r="A8" s="116">
        <v>8</v>
      </c>
      <c r="B8" s="441"/>
      <c r="C8" s="646"/>
      <c r="D8" s="646"/>
      <c r="E8" s="646"/>
      <c r="F8" s="646"/>
      <c r="G8" s="646"/>
      <c r="H8" s="646"/>
      <c r="I8" s="646"/>
      <c r="J8" s="446"/>
      <c r="K8" s="379" t="s">
        <v>247</v>
      </c>
      <c r="L8" s="446"/>
      <c r="M8" s="446"/>
      <c r="N8" s="34"/>
      <c r="O8" s="217"/>
    </row>
    <row r="9" spans="1:15" s="6" customFormat="1" ht="25.5" customHeight="1" x14ac:dyDescent="0.2">
      <c r="A9" s="116">
        <v>9</v>
      </c>
      <c r="B9" s="441"/>
      <c r="C9" s="646"/>
      <c r="D9" s="646"/>
      <c r="E9" s="646"/>
      <c r="F9" s="646"/>
      <c r="G9" s="646"/>
      <c r="H9" s="646"/>
      <c r="I9" s="646"/>
      <c r="J9" s="441"/>
      <c r="K9" s="141" t="s">
        <v>249</v>
      </c>
      <c r="L9" s="143"/>
      <c r="M9" s="143"/>
      <c r="N9" s="34"/>
      <c r="O9" s="217"/>
    </row>
    <row r="10" spans="1:15" s="6" customFormat="1" ht="18" customHeight="1" x14ac:dyDescent="0.25">
      <c r="A10" s="116">
        <v>10</v>
      </c>
      <c r="B10" s="441"/>
      <c r="C10" s="143"/>
      <c r="D10" s="145" t="s">
        <v>415</v>
      </c>
      <c r="E10" s="143"/>
      <c r="F10" s="143"/>
      <c r="G10" s="143"/>
      <c r="H10" s="143"/>
      <c r="I10" s="143"/>
      <c r="J10" s="441"/>
      <c r="K10" s="441"/>
      <c r="L10" s="441"/>
      <c r="M10" s="441"/>
      <c r="N10" s="34"/>
      <c r="O10" s="217"/>
    </row>
    <row r="11" spans="1:15" s="6" customFormat="1" ht="15" customHeight="1" x14ac:dyDescent="0.2">
      <c r="A11" s="116">
        <v>11</v>
      </c>
      <c r="B11" s="441"/>
      <c r="C11" s="36"/>
      <c r="D11" s="441"/>
      <c r="E11" s="143"/>
      <c r="F11" s="144" t="s">
        <v>251</v>
      </c>
      <c r="G11" s="36"/>
      <c r="H11" s="36"/>
      <c r="I11" s="36"/>
      <c r="J11" s="441"/>
      <c r="K11" s="3">
        <f>'S4.RAB Value (Rolled Forward)'!G107</f>
        <v>12944.110300886972</v>
      </c>
      <c r="L11" s="143"/>
      <c r="M11" s="143"/>
      <c r="N11" s="34"/>
      <c r="O11" s="217"/>
    </row>
    <row r="12" spans="1:15" s="6" customFormat="1" ht="15" customHeight="1" x14ac:dyDescent="0.2">
      <c r="A12" s="116">
        <v>12</v>
      </c>
      <c r="B12" s="441"/>
      <c r="C12" s="36"/>
      <c r="D12" s="441"/>
      <c r="E12" s="143"/>
      <c r="F12" s="144" t="s">
        <v>252</v>
      </c>
      <c r="G12" s="36"/>
      <c r="H12" s="36"/>
      <c r="I12" s="36"/>
      <c r="J12" s="441"/>
      <c r="K12" s="3">
        <v>0</v>
      </c>
      <c r="L12" s="143"/>
      <c r="M12" s="143"/>
      <c r="N12" s="34"/>
      <c r="O12" s="217"/>
    </row>
    <row r="13" spans="1:15" s="6" customFormat="1" ht="15" customHeight="1" x14ac:dyDescent="0.2">
      <c r="A13" s="116">
        <v>13</v>
      </c>
      <c r="B13" s="441"/>
      <c r="C13" s="36"/>
      <c r="D13" s="441"/>
      <c r="E13" s="117" t="s">
        <v>253</v>
      </c>
      <c r="F13" s="143"/>
      <c r="G13" s="36"/>
      <c r="H13" s="36"/>
      <c r="I13" s="36"/>
      <c r="J13" s="441"/>
      <c r="K13" s="342">
        <f>SUM(K11:K12)</f>
        <v>12944.110300886972</v>
      </c>
      <c r="L13" s="143"/>
      <c r="M13" s="143"/>
      <c r="N13" s="34"/>
      <c r="O13" s="217"/>
    </row>
    <row r="14" spans="1:15" s="6" customFormat="1" ht="18" customHeight="1" x14ac:dyDescent="0.25">
      <c r="A14" s="116">
        <v>14</v>
      </c>
      <c r="B14" s="441"/>
      <c r="C14" s="36"/>
      <c r="D14" s="145" t="s">
        <v>442</v>
      </c>
      <c r="E14" s="143"/>
      <c r="F14" s="143"/>
      <c r="G14" s="36"/>
      <c r="H14" s="36"/>
      <c r="I14" s="36"/>
      <c r="J14" s="441"/>
      <c r="K14" s="62"/>
      <c r="L14" s="143"/>
      <c r="M14" s="143"/>
      <c r="N14" s="34"/>
      <c r="O14" s="217"/>
    </row>
    <row r="15" spans="1:15" s="6" customFormat="1" ht="15" customHeight="1" x14ac:dyDescent="0.2">
      <c r="A15" s="116">
        <v>15</v>
      </c>
      <c r="B15" s="441"/>
      <c r="C15" s="36"/>
      <c r="D15" s="441"/>
      <c r="E15" s="143"/>
      <c r="F15" s="144" t="s">
        <v>251</v>
      </c>
      <c r="G15" s="36"/>
      <c r="H15" s="36"/>
      <c r="I15" s="36"/>
      <c r="J15" s="441"/>
      <c r="K15" s="3">
        <f>'S4.RAB Value (Rolled Forward)'!H107</f>
        <v>3117.3065367836271</v>
      </c>
      <c r="L15" s="143"/>
      <c r="M15" s="143"/>
      <c r="N15" s="34"/>
      <c r="O15" s="217"/>
    </row>
    <row r="16" spans="1:15" s="6" customFormat="1" ht="15" customHeight="1" x14ac:dyDescent="0.2">
      <c r="A16" s="116">
        <v>16</v>
      </c>
      <c r="B16" s="441"/>
      <c r="C16" s="36"/>
      <c r="D16" s="441"/>
      <c r="E16" s="143"/>
      <c r="F16" s="144" t="s">
        <v>252</v>
      </c>
      <c r="G16" s="36"/>
      <c r="H16" s="36"/>
      <c r="I16" s="36"/>
      <c r="J16" s="441"/>
      <c r="K16" s="3">
        <v>0</v>
      </c>
      <c r="L16" s="143"/>
      <c r="M16" s="143"/>
      <c r="N16" s="34"/>
      <c r="O16" s="217"/>
    </row>
    <row r="17" spans="1:15" s="6" customFormat="1" ht="15" customHeight="1" x14ac:dyDescent="0.2">
      <c r="A17" s="116">
        <v>17</v>
      </c>
      <c r="B17" s="441"/>
      <c r="C17" s="36"/>
      <c r="D17" s="441"/>
      <c r="E17" s="117" t="s">
        <v>253</v>
      </c>
      <c r="F17" s="143"/>
      <c r="G17" s="36"/>
      <c r="H17" s="36"/>
      <c r="I17" s="36"/>
      <c r="J17" s="441"/>
      <c r="K17" s="342">
        <f>SUM(K15:K16)</f>
        <v>3117.3065367836271</v>
      </c>
      <c r="L17" s="143"/>
      <c r="M17" s="143"/>
      <c r="N17" s="34"/>
      <c r="O17" s="217"/>
    </row>
    <row r="18" spans="1:15" s="6" customFormat="1" ht="18" customHeight="1" x14ac:dyDescent="0.25">
      <c r="A18" s="116">
        <v>18</v>
      </c>
      <c r="B18" s="441"/>
      <c r="C18" s="143"/>
      <c r="D18" s="145" t="s">
        <v>65</v>
      </c>
      <c r="E18" s="143"/>
      <c r="F18" s="143"/>
      <c r="G18" s="143"/>
      <c r="H18" s="143"/>
      <c r="I18" s="143"/>
      <c r="J18" s="441"/>
      <c r="K18" s="441"/>
      <c r="L18" s="143"/>
      <c r="M18" s="143"/>
      <c r="N18" s="34"/>
      <c r="O18" s="217"/>
    </row>
    <row r="19" spans="1:15" s="6" customFormat="1" ht="15" customHeight="1" x14ac:dyDescent="0.2">
      <c r="A19" s="116">
        <v>19</v>
      </c>
      <c r="B19" s="441"/>
      <c r="C19" s="36"/>
      <c r="D19" s="441"/>
      <c r="E19" s="143"/>
      <c r="F19" s="144" t="s">
        <v>251</v>
      </c>
      <c r="G19" s="36"/>
      <c r="H19" s="36"/>
      <c r="I19" s="36"/>
      <c r="J19" s="441"/>
      <c r="K19" s="3">
        <f>'S4.RAB Value (Rolled Forward)'!I107</f>
        <v>41561.624210072041</v>
      </c>
      <c r="L19" s="143"/>
      <c r="M19" s="143"/>
      <c r="N19" s="34"/>
      <c r="O19" s="217"/>
    </row>
    <row r="20" spans="1:15" s="6" customFormat="1" ht="15" customHeight="1" x14ac:dyDescent="0.2">
      <c r="A20" s="116">
        <v>20</v>
      </c>
      <c r="B20" s="441"/>
      <c r="C20" s="36"/>
      <c r="D20" s="441"/>
      <c r="E20" s="143"/>
      <c r="F20" s="144" t="s">
        <v>252</v>
      </c>
      <c r="G20" s="36"/>
      <c r="H20" s="36"/>
      <c r="I20" s="36"/>
      <c r="J20" s="441"/>
      <c r="K20" s="3">
        <v>0</v>
      </c>
      <c r="L20" s="143"/>
      <c r="M20" s="143"/>
      <c r="N20" s="34"/>
      <c r="O20" s="217"/>
    </row>
    <row r="21" spans="1:15" s="6" customFormat="1" ht="15" customHeight="1" x14ac:dyDescent="0.2">
      <c r="A21" s="116">
        <v>21</v>
      </c>
      <c r="B21" s="441"/>
      <c r="C21" s="36"/>
      <c r="D21" s="441"/>
      <c r="E21" s="117" t="s">
        <v>253</v>
      </c>
      <c r="F21" s="36"/>
      <c r="G21" s="36"/>
      <c r="H21" s="36"/>
      <c r="I21" s="36"/>
      <c r="J21" s="441"/>
      <c r="K21" s="342">
        <f>SUM(K19:K20)</f>
        <v>41561.624210072041</v>
      </c>
      <c r="L21" s="143"/>
      <c r="M21" s="143"/>
      <c r="N21" s="34"/>
      <c r="O21" s="217"/>
    </row>
    <row r="22" spans="1:15" s="6" customFormat="1" ht="18" customHeight="1" x14ac:dyDescent="0.25">
      <c r="A22" s="116">
        <v>22</v>
      </c>
      <c r="B22" s="441"/>
      <c r="C22" s="143"/>
      <c r="D22" s="145" t="s">
        <v>236</v>
      </c>
      <c r="E22" s="143"/>
      <c r="F22" s="143"/>
      <c r="G22" s="143"/>
      <c r="H22" s="143"/>
      <c r="I22" s="143"/>
      <c r="J22" s="441"/>
      <c r="K22" s="441"/>
      <c r="L22" s="143"/>
      <c r="M22" s="143"/>
      <c r="N22" s="34"/>
      <c r="O22" s="217"/>
    </row>
    <row r="23" spans="1:15" s="6" customFormat="1" ht="15" customHeight="1" x14ac:dyDescent="0.2">
      <c r="A23" s="116">
        <v>23</v>
      </c>
      <c r="B23" s="441"/>
      <c r="C23" s="36"/>
      <c r="D23" s="441"/>
      <c r="E23" s="143"/>
      <c r="F23" s="144" t="s">
        <v>251</v>
      </c>
      <c r="G23" s="36"/>
      <c r="H23" s="36"/>
      <c r="I23" s="36"/>
      <c r="J23" s="441"/>
      <c r="K23" s="3">
        <f>'S4.RAB Value (Rolled Forward)'!J107</f>
        <v>35531.725479704895</v>
      </c>
      <c r="L23" s="143"/>
      <c r="M23" s="143"/>
      <c r="N23" s="34"/>
      <c r="O23" s="217"/>
    </row>
    <row r="24" spans="1:15" s="6" customFormat="1" ht="15" customHeight="1" x14ac:dyDescent="0.2">
      <c r="A24" s="116">
        <v>24</v>
      </c>
      <c r="B24" s="441"/>
      <c r="C24" s="36"/>
      <c r="D24" s="441"/>
      <c r="E24" s="143"/>
      <c r="F24" s="144" t="s">
        <v>252</v>
      </c>
      <c r="G24" s="36"/>
      <c r="H24" s="36"/>
      <c r="I24" s="36"/>
      <c r="J24" s="441"/>
      <c r="K24" s="3">
        <v>0</v>
      </c>
      <c r="L24" s="143"/>
      <c r="M24" s="143"/>
      <c r="N24" s="34"/>
      <c r="O24" s="217"/>
    </row>
    <row r="25" spans="1:15" s="6" customFormat="1" ht="15" customHeight="1" x14ac:dyDescent="0.2">
      <c r="A25" s="116">
        <v>25</v>
      </c>
      <c r="B25" s="441"/>
      <c r="C25" s="36"/>
      <c r="D25" s="441"/>
      <c r="E25" s="117" t="s">
        <v>253</v>
      </c>
      <c r="F25" s="36"/>
      <c r="G25" s="36"/>
      <c r="H25" s="36"/>
      <c r="I25" s="36"/>
      <c r="J25" s="441"/>
      <c r="K25" s="342">
        <f>SUM(K23:K24)</f>
        <v>35531.725479704895</v>
      </c>
      <c r="L25" s="143"/>
      <c r="M25" s="143"/>
      <c r="N25" s="34"/>
      <c r="O25" s="217"/>
    </row>
    <row r="26" spans="1:15" s="6" customFormat="1" ht="18" customHeight="1" x14ac:dyDescent="0.25">
      <c r="A26" s="116">
        <v>26</v>
      </c>
      <c r="B26" s="441"/>
      <c r="C26" s="143"/>
      <c r="D26" s="145" t="s">
        <v>237</v>
      </c>
      <c r="E26" s="143"/>
      <c r="F26" s="143"/>
      <c r="G26" s="143"/>
      <c r="H26" s="143"/>
      <c r="I26" s="143"/>
      <c r="J26" s="441"/>
      <c r="K26" s="441"/>
      <c r="L26" s="143"/>
      <c r="M26" s="143"/>
      <c r="N26" s="34"/>
      <c r="O26" s="217"/>
    </row>
    <row r="27" spans="1:15" s="6" customFormat="1" ht="15" customHeight="1" x14ac:dyDescent="0.2">
      <c r="A27" s="116">
        <v>27</v>
      </c>
      <c r="B27" s="441"/>
      <c r="C27" s="36"/>
      <c r="D27" s="441"/>
      <c r="E27" s="143"/>
      <c r="F27" s="144" t="s">
        <v>251</v>
      </c>
      <c r="G27" s="36"/>
      <c r="H27" s="36"/>
      <c r="I27" s="36"/>
      <c r="J27" s="441"/>
      <c r="K27" s="3">
        <f>'S4.RAB Value (Rolled Forward)'!K107</f>
        <v>47356.958487382624</v>
      </c>
      <c r="L27" s="143"/>
      <c r="M27" s="143"/>
      <c r="N27" s="34"/>
      <c r="O27" s="217"/>
    </row>
    <row r="28" spans="1:15" s="6" customFormat="1" ht="15" customHeight="1" x14ac:dyDescent="0.2">
      <c r="A28" s="116">
        <v>28</v>
      </c>
      <c r="B28" s="441"/>
      <c r="C28" s="36"/>
      <c r="D28" s="441"/>
      <c r="E28" s="143"/>
      <c r="F28" s="144" t="s">
        <v>252</v>
      </c>
      <c r="G28" s="36"/>
      <c r="H28" s="36"/>
      <c r="I28" s="36"/>
      <c r="J28" s="441"/>
      <c r="K28" s="3">
        <v>0</v>
      </c>
      <c r="L28" s="143"/>
      <c r="M28" s="143"/>
      <c r="N28" s="34"/>
      <c r="O28" s="217"/>
    </row>
    <row r="29" spans="1:15" s="6" customFormat="1" ht="15" customHeight="1" x14ac:dyDescent="0.2">
      <c r="A29" s="116">
        <v>29</v>
      </c>
      <c r="B29" s="441"/>
      <c r="C29" s="36"/>
      <c r="D29" s="441"/>
      <c r="E29" s="117" t="s">
        <v>253</v>
      </c>
      <c r="F29" s="36"/>
      <c r="G29" s="36"/>
      <c r="H29" s="36"/>
      <c r="I29" s="36"/>
      <c r="J29" s="441"/>
      <c r="K29" s="342">
        <f>SUM(K27:K28)</f>
        <v>47356.958487382624</v>
      </c>
      <c r="L29" s="143"/>
      <c r="M29" s="143"/>
      <c r="N29" s="34"/>
      <c r="O29" s="217"/>
    </row>
    <row r="30" spans="1:15" s="6" customFormat="1" ht="18" customHeight="1" x14ac:dyDescent="0.25">
      <c r="A30" s="116">
        <v>30</v>
      </c>
      <c r="B30" s="441"/>
      <c r="C30" s="143"/>
      <c r="D30" s="145" t="s">
        <v>238</v>
      </c>
      <c r="E30" s="143"/>
      <c r="F30" s="143"/>
      <c r="G30" s="143"/>
      <c r="H30" s="143"/>
      <c r="I30" s="143"/>
      <c r="J30" s="441"/>
      <c r="K30" s="441"/>
      <c r="L30" s="143"/>
      <c r="M30" s="143"/>
      <c r="N30" s="34"/>
      <c r="O30" s="217"/>
    </row>
    <row r="31" spans="1:15" s="6" customFormat="1" ht="15" customHeight="1" x14ac:dyDescent="0.2">
      <c r="A31" s="116">
        <v>31</v>
      </c>
      <c r="B31" s="441"/>
      <c r="C31" s="36"/>
      <c r="D31" s="441"/>
      <c r="E31" s="143"/>
      <c r="F31" s="144" t="s">
        <v>251</v>
      </c>
      <c r="G31" s="36"/>
      <c r="H31" s="36"/>
      <c r="I31" s="36"/>
      <c r="J31" s="441"/>
      <c r="K31" s="3">
        <f>'S4.RAB Value (Rolled Forward)'!L107</f>
        <v>21245.051676027801</v>
      </c>
      <c r="L31" s="143"/>
      <c r="M31" s="143"/>
      <c r="N31" s="34"/>
      <c r="O31" s="217"/>
    </row>
    <row r="32" spans="1:15" s="6" customFormat="1" ht="15" customHeight="1" x14ac:dyDescent="0.2">
      <c r="A32" s="116">
        <v>32</v>
      </c>
      <c r="B32" s="441"/>
      <c r="C32" s="36"/>
      <c r="D32" s="441"/>
      <c r="E32" s="143"/>
      <c r="F32" s="144" t="s">
        <v>252</v>
      </c>
      <c r="G32" s="36"/>
      <c r="H32" s="36"/>
      <c r="I32" s="36"/>
      <c r="J32" s="441"/>
      <c r="K32" s="3">
        <v>0</v>
      </c>
      <c r="L32" s="143"/>
      <c r="M32" s="143"/>
      <c r="N32" s="34"/>
      <c r="O32" s="217"/>
    </row>
    <row r="33" spans="1:15" s="6" customFormat="1" ht="15" customHeight="1" x14ac:dyDescent="0.2">
      <c r="A33" s="116">
        <v>33</v>
      </c>
      <c r="B33" s="441"/>
      <c r="C33" s="36"/>
      <c r="D33" s="441"/>
      <c r="E33" s="117" t="s">
        <v>253</v>
      </c>
      <c r="F33" s="36"/>
      <c r="G33" s="36"/>
      <c r="H33" s="36"/>
      <c r="I33" s="36"/>
      <c r="J33" s="441"/>
      <c r="K33" s="342">
        <f>SUM(K31:K32)</f>
        <v>21245.051676027801</v>
      </c>
      <c r="L33" s="143"/>
      <c r="M33" s="143"/>
      <c r="N33" s="34"/>
      <c r="O33" s="217"/>
    </row>
    <row r="34" spans="1:15" s="6" customFormat="1" ht="18" customHeight="1" x14ac:dyDescent="0.25">
      <c r="A34" s="116">
        <v>34</v>
      </c>
      <c r="B34" s="441"/>
      <c r="C34" s="143"/>
      <c r="D34" s="145" t="s">
        <v>97</v>
      </c>
      <c r="E34" s="143"/>
      <c r="F34" s="143"/>
      <c r="G34" s="143"/>
      <c r="H34" s="143"/>
      <c r="I34" s="143"/>
      <c r="J34" s="441"/>
      <c r="K34" s="441"/>
      <c r="L34" s="143"/>
      <c r="M34" s="143"/>
      <c r="N34" s="34"/>
      <c r="O34" s="217"/>
    </row>
    <row r="35" spans="1:15" s="6" customFormat="1" ht="15" customHeight="1" x14ac:dyDescent="0.2">
      <c r="A35" s="116">
        <v>35</v>
      </c>
      <c r="B35" s="441"/>
      <c r="C35" s="36"/>
      <c r="D35" s="441"/>
      <c r="E35" s="143"/>
      <c r="F35" s="144" t="s">
        <v>251</v>
      </c>
      <c r="G35" s="36"/>
      <c r="H35" s="36"/>
      <c r="I35" s="36"/>
      <c r="J35" s="441"/>
      <c r="K35" s="3">
        <f>'S4.RAB Value (Rolled Forward)'!M107</f>
        <v>10808.648586633495</v>
      </c>
      <c r="L35" s="143"/>
      <c r="M35" s="143"/>
      <c r="N35" s="34"/>
      <c r="O35" s="217"/>
    </row>
    <row r="36" spans="1:15" s="6" customFormat="1" ht="15" customHeight="1" x14ac:dyDescent="0.2">
      <c r="A36" s="116">
        <v>36</v>
      </c>
      <c r="B36" s="441"/>
      <c r="C36" s="36"/>
      <c r="D36" s="441"/>
      <c r="E36" s="143"/>
      <c r="F36" s="144" t="s">
        <v>252</v>
      </c>
      <c r="G36" s="36"/>
      <c r="H36" s="36"/>
      <c r="I36" s="36"/>
      <c r="J36" s="441"/>
      <c r="K36" s="3">
        <v>0</v>
      </c>
      <c r="L36" s="143"/>
      <c r="M36" s="143"/>
      <c r="N36" s="34"/>
      <c r="O36" s="217"/>
    </row>
    <row r="37" spans="1:15" s="6" customFormat="1" ht="15" customHeight="1" x14ac:dyDescent="0.2">
      <c r="A37" s="116">
        <v>37</v>
      </c>
      <c r="B37" s="441"/>
      <c r="C37" s="36"/>
      <c r="D37" s="441"/>
      <c r="E37" s="117" t="s">
        <v>253</v>
      </c>
      <c r="F37" s="36"/>
      <c r="G37" s="36"/>
      <c r="H37" s="36"/>
      <c r="I37" s="36"/>
      <c r="J37" s="441"/>
      <c r="K37" s="342">
        <f>SUM(K35:K36)</f>
        <v>10808.648586633495</v>
      </c>
      <c r="L37" s="143"/>
      <c r="M37" s="143"/>
      <c r="N37" s="34"/>
      <c r="O37" s="217"/>
    </row>
    <row r="38" spans="1:15" s="6" customFormat="1" ht="18" customHeight="1" x14ac:dyDescent="0.25">
      <c r="A38" s="116">
        <v>38</v>
      </c>
      <c r="B38" s="441"/>
      <c r="C38" s="143"/>
      <c r="D38" s="145" t="s">
        <v>416</v>
      </c>
      <c r="E38" s="143"/>
      <c r="F38" s="143"/>
      <c r="G38" s="143"/>
      <c r="H38" s="143"/>
      <c r="I38" s="143"/>
      <c r="J38" s="441"/>
      <c r="K38" s="441"/>
      <c r="L38" s="143"/>
      <c r="M38" s="143"/>
      <c r="N38" s="34"/>
      <c r="O38" s="217"/>
    </row>
    <row r="39" spans="1:15" s="6" customFormat="1" ht="15" customHeight="1" x14ac:dyDescent="0.2">
      <c r="A39" s="116">
        <v>39</v>
      </c>
      <c r="B39" s="441"/>
      <c r="C39" s="36"/>
      <c r="D39" s="36"/>
      <c r="E39" s="143"/>
      <c r="F39" s="144" t="s">
        <v>251</v>
      </c>
      <c r="G39" s="36"/>
      <c r="H39" s="36"/>
      <c r="I39" s="36"/>
      <c r="J39" s="441"/>
      <c r="K39" s="3">
        <f>'S4.RAB Value (Rolled Forward)'!N107</f>
        <v>5993.7218855834653</v>
      </c>
      <c r="L39" s="143"/>
      <c r="M39" s="143"/>
      <c r="N39" s="34"/>
      <c r="O39" s="217"/>
    </row>
    <row r="40" spans="1:15" s="6" customFormat="1" ht="15" customHeight="1" x14ac:dyDescent="0.2">
      <c r="A40" s="116">
        <v>40</v>
      </c>
      <c r="B40" s="441"/>
      <c r="C40" s="36"/>
      <c r="D40" s="36"/>
      <c r="E40" s="143"/>
      <c r="F40" s="144" t="s">
        <v>252</v>
      </c>
      <c r="G40" s="36"/>
      <c r="H40" s="36"/>
      <c r="I40" s="36"/>
      <c r="J40" s="441"/>
      <c r="K40" s="3">
        <v>0</v>
      </c>
      <c r="L40" s="143"/>
      <c r="M40" s="143"/>
      <c r="N40" s="34"/>
      <c r="O40" s="217"/>
    </row>
    <row r="41" spans="1:15" s="6" customFormat="1" ht="15" customHeight="1" x14ac:dyDescent="0.2">
      <c r="A41" s="116">
        <v>41</v>
      </c>
      <c r="B41" s="441"/>
      <c r="C41" s="36"/>
      <c r="D41" s="36"/>
      <c r="E41" s="117" t="s">
        <v>253</v>
      </c>
      <c r="F41" s="36"/>
      <c r="G41" s="36"/>
      <c r="H41" s="36"/>
      <c r="I41" s="36"/>
      <c r="J41" s="441"/>
      <c r="K41" s="342">
        <f>SUM(K39:K40)</f>
        <v>5993.7218855834653</v>
      </c>
      <c r="L41" s="143"/>
      <c r="M41" s="143"/>
      <c r="N41" s="34"/>
      <c r="O41" s="217"/>
    </row>
    <row r="42" spans="1:15" s="6" customFormat="1" ht="18" customHeight="1" x14ac:dyDescent="0.25">
      <c r="A42" s="116">
        <v>42</v>
      </c>
      <c r="B42" s="441"/>
      <c r="C42" s="143"/>
      <c r="D42" s="145" t="s">
        <v>391</v>
      </c>
      <c r="E42" s="143"/>
      <c r="F42" s="143"/>
      <c r="G42" s="143"/>
      <c r="H42" s="143"/>
      <c r="I42" s="143"/>
      <c r="J42" s="441"/>
      <c r="K42" s="441"/>
      <c r="L42" s="143"/>
      <c r="M42" s="143"/>
      <c r="N42" s="34"/>
      <c r="O42" s="217"/>
    </row>
    <row r="43" spans="1:15" s="6" customFormat="1" ht="15" customHeight="1" x14ac:dyDescent="0.2">
      <c r="A43" s="116">
        <v>43</v>
      </c>
      <c r="B43" s="441"/>
      <c r="C43" s="36"/>
      <c r="D43" s="36"/>
      <c r="E43" s="143"/>
      <c r="F43" s="144" t="s">
        <v>251</v>
      </c>
      <c r="G43" s="36"/>
      <c r="H43" s="36"/>
      <c r="I43" s="36"/>
      <c r="J43" s="441"/>
      <c r="K43" s="3">
        <f>'S4.RAB Value (Rolled Forward)'!O107</f>
        <v>21061.556016782248</v>
      </c>
      <c r="L43" s="143"/>
      <c r="M43" s="143"/>
      <c r="N43" s="34"/>
      <c r="O43" s="217"/>
    </row>
    <row r="44" spans="1:15" s="6" customFormat="1" ht="15" customHeight="1" x14ac:dyDescent="0.2">
      <c r="A44" s="116">
        <v>44</v>
      </c>
      <c r="B44" s="441"/>
      <c r="C44" s="36"/>
      <c r="D44" s="36"/>
      <c r="E44" s="143"/>
      <c r="F44" s="144" t="s">
        <v>252</v>
      </c>
      <c r="G44" s="36"/>
      <c r="H44" s="36"/>
      <c r="I44" s="36"/>
      <c r="J44" s="441"/>
      <c r="K44" s="3">
        <v>0</v>
      </c>
      <c r="L44" s="143"/>
      <c r="M44" s="143"/>
      <c r="N44" s="34"/>
      <c r="O44" s="217"/>
    </row>
    <row r="45" spans="1:15" s="6" customFormat="1" ht="15" customHeight="1" x14ac:dyDescent="0.2">
      <c r="A45" s="116">
        <v>45</v>
      </c>
      <c r="B45" s="441"/>
      <c r="C45" s="36"/>
      <c r="D45" s="36"/>
      <c r="E45" s="117" t="s">
        <v>253</v>
      </c>
      <c r="F45" s="36"/>
      <c r="G45" s="36"/>
      <c r="H45" s="36"/>
      <c r="I45" s="36"/>
      <c r="J45" s="441"/>
      <c r="K45" s="342">
        <f>SUM(K43:K44)</f>
        <v>21061.556016782248</v>
      </c>
      <c r="L45" s="143"/>
      <c r="M45" s="143"/>
      <c r="N45" s="34"/>
      <c r="O45" s="217"/>
    </row>
    <row r="46" spans="1:15" s="6" customFormat="1" ht="15" customHeight="1" thickBot="1" x14ac:dyDescent="0.25">
      <c r="A46" s="116">
        <v>46</v>
      </c>
      <c r="B46" s="441"/>
      <c r="C46" s="441"/>
      <c r="D46" s="441"/>
      <c r="E46" s="143"/>
      <c r="F46" s="441"/>
      <c r="G46" s="441"/>
      <c r="H46" s="441"/>
      <c r="I46" s="441"/>
      <c r="J46" s="441"/>
      <c r="K46" s="441"/>
      <c r="L46" s="143"/>
      <c r="M46" s="143"/>
      <c r="N46" s="34"/>
      <c r="O46" s="217"/>
    </row>
    <row r="47" spans="1:15" s="6" customFormat="1" ht="15" customHeight="1" thickBot="1" x14ac:dyDescent="0.25">
      <c r="A47" s="116">
        <v>47</v>
      </c>
      <c r="B47" s="441"/>
      <c r="C47" s="441"/>
      <c r="D47" s="117" t="s">
        <v>254</v>
      </c>
      <c r="E47" s="441"/>
      <c r="F47" s="441"/>
      <c r="G47" s="441"/>
      <c r="H47" s="441"/>
      <c r="I47" s="441"/>
      <c r="J47" s="441"/>
      <c r="K47" s="454">
        <f>SUM(K11,K15,K19,K23,K27,K31,K35,K39,K43)</f>
        <v>199620.70317985717</v>
      </c>
      <c r="L47" s="143"/>
      <c r="M47" s="143"/>
      <c r="N47" s="34"/>
      <c r="O47" s="217"/>
    </row>
    <row r="48" spans="1:15" s="6" customFormat="1" ht="15" customHeight="1" thickBot="1" x14ac:dyDescent="0.25">
      <c r="A48" s="116">
        <v>48</v>
      </c>
      <c r="B48" s="441"/>
      <c r="C48" s="441"/>
      <c r="D48" s="117" t="s">
        <v>255</v>
      </c>
      <c r="E48" s="441"/>
      <c r="F48" s="441"/>
      <c r="G48" s="441"/>
      <c r="H48" s="441"/>
      <c r="I48" s="441"/>
      <c r="J48" s="441"/>
      <c r="K48" s="454">
        <f>SUM(K12,K16,K20,K24,K28,K32,K36,K40,K44)</f>
        <v>0</v>
      </c>
      <c r="L48" s="143"/>
      <c r="M48" s="143"/>
      <c r="N48" s="34"/>
      <c r="O48" s="217"/>
    </row>
    <row r="49" spans="1:15" s="6" customFormat="1" ht="15" customHeight="1" thickBot="1" x14ac:dyDescent="0.25">
      <c r="A49" s="116">
        <v>49</v>
      </c>
      <c r="B49" s="441"/>
      <c r="C49" s="441"/>
      <c r="D49" s="117" t="s">
        <v>135</v>
      </c>
      <c r="E49" s="441"/>
      <c r="F49" s="441"/>
      <c r="G49" s="441"/>
      <c r="H49" s="441"/>
      <c r="I49" s="441"/>
      <c r="J49" s="441"/>
      <c r="K49" s="454">
        <f>K47+K48</f>
        <v>199620.70317985717</v>
      </c>
      <c r="L49" s="441"/>
      <c r="M49" s="441"/>
      <c r="N49" s="34"/>
      <c r="O49" s="541" t="s">
        <v>612</v>
      </c>
    </row>
    <row r="50" spans="1:15" s="114" customFormat="1" ht="15" customHeight="1" x14ac:dyDescent="0.2">
      <c r="A50" s="116">
        <v>50</v>
      </c>
      <c r="B50" s="441"/>
      <c r="C50" s="441"/>
      <c r="D50" s="441"/>
      <c r="E50" s="441"/>
      <c r="F50" s="441"/>
      <c r="G50" s="441"/>
      <c r="H50" s="441"/>
      <c r="I50" s="441"/>
      <c r="J50" s="441"/>
      <c r="K50" s="441"/>
      <c r="L50" s="441"/>
      <c r="M50" s="441"/>
      <c r="N50" s="34"/>
      <c r="O50" s="217"/>
    </row>
    <row r="51" spans="1:15" s="6" customFormat="1" ht="30" customHeight="1" x14ac:dyDescent="0.3">
      <c r="A51" s="116">
        <v>51</v>
      </c>
      <c r="B51" s="441"/>
      <c r="C51" s="306" t="s">
        <v>671</v>
      </c>
      <c r="D51" s="292"/>
      <c r="E51" s="292"/>
      <c r="F51" s="292"/>
      <c r="G51" s="441"/>
      <c r="H51" s="441"/>
      <c r="I51" s="441"/>
      <c r="J51" s="441"/>
      <c r="K51" s="441"/>
      <c r="L51" s="441"/>
      <c r="M51" s="441"/>
      <c r="N51" s="34"/>
      <c r="O51" s="217"/>
    </row>
    <row r="52" spans="1:15" s="6" customFormat="1" ht="15" customHeight="1" x14ac:dyDescent="0.2">
      <c r="A52" s="116">
        <v>52</v>
      </c>
      <c r="B52" s="441"/>
      <c r="C52" s="65"/>
      <c r="D52" s="65"/>
      <c r="E52" s="143"/>
      <c r="F52" s="65"/>
      <c r="G52" s="65"/>
      <c r="H52" s="65"/>
      <c r="I52" s="65"/>
      <c r="J52" s="451"/>
      <c r="K52" s="446"/>
      <c r="L52" s="463" t="s">
        <v>127</v>
      </c>
      <c r="M52" s="463"/>
      <c r="N52" s="34"/>
      <c r="O52" s="217"/>
    </row>
    <row r="53" spans="1:15" s="114" customFormat="1" ht="15" customHeight="1" x14ac:dyDescent="0.2">
      <c r="A53" s="116">
        <v>53</v>
      </c>
      <c r="B53" s="441"/>
      <c r="C53" s="65"/>
      <c r="D53" s="65"/>
      <c r="E53" s="117" t="s">
        <v>257</v>
      </c>
      <c r="F53" s="65"/>
      <c r="G53" s="65"/>
      <c r="H53" s="65"/>
      <c r="I53" s="65"/>
      <c r="J53" s="451"/>
      <c r="K53" s="446"/>
      <c r="L53" s="141" t="s">
        <v>121</v>
      </c>
      <c r="M53" s="141" t="s">
        <v>256</v>
      </c>
      <c r="N53" s="34"/>
      <c r="O53" s="217"/>
    </row>
    <row r="54" spans="1:15" s="6" customFormat="1" ht="15" customHeight="1" x14ac:dyDescent="0.2">
      <c r="A54" s="116">
        <v>54</v>
      </c>
      <c r="B54" s="441"/>
      <c r="C54" s="65"/>
      <c r="D54" s="65"/>
      <c r="E54" s="143"/>
      <c r="F54" s="144" t="s">
        <v>1</v>
      </c>
      <c r="G54" s="65"/>
      <c r="H54" s="584" t="s">
        <v>933</v>
      </c>
      <c r="I54" s="65"/>
      <c r="J54" s="209"/>
      <c r="K54" s="36" t="s">
        <v>258</v>
      </c>
      <c r="L54" s="581">
        <v>0</v>
      </c>
      <c r="M54" s="581">
        <v>0</v>
      </c>
      <c r="N54" s="34"/>
      <c r="O54" s="217"/>
    </row>
    <row r="55" spans="1:15" s="6" customFormat="1" ht="15" customHeight="1" x14ac:dyDescent="0.2">
      <c r="A55" s="116">
        <v>55</v>
      </c>
      <c r="B55" s="441"/>
      <c r="C55" s="65"/>
      <c r="D55" s="65"/>
      <c r="E55" s="143"/>
      <c r="F55" s="144" t="s">
        <v>259</v>
      </c>
      <c r="G55" s="65"/>
      <c r="H55" s="584" t="s">
        <v>933</v>
      </c>
      <c r="I55" s="65"/>
      <c r="J55" s="209"/>
      <c r="K55" s="36" t="s">
        <v>260</v>
      </c>
      <c r="L55" s="581">
        <v>0</v>
      </c>
      <c r="M55" s="581">
        <v>0</v>
      </c>
      <c r="N55" s="34"/>
      <c r="O55" s="217"/>
    </row>
    <row r="56" spans="1:15" s="6" customFormat="1" ht="15" customHeight="1" x14ac:dyDescent="0.2">
      <c r="A56" s="116">
        <v>56</v>
      </c>
      <c r="B56" s="441"/>
      <c r="C56" s="65"/>
      <c r="D56" s="65"/>
      <c r="E56" s="143"/>
      <c r="F56" s="144" t="s">
        <v>261</v>
      </c>
      <c r="G56" s="65"/>
      <c r="H56" s="584" t="s">
        <v>933</v>
      </c>
      <c r="I56" s="65"/>
      <c r="J56" s="209"/>
      <c r="K56" s="36" t="s">
        <v>262</v>
      </c>
      <c r="L56" s="342">
        <f>L54-L55</f>
        <v>0</v>
      </c>
      <c r="M56" s="342">
        <f>M54-M55</f>
        <v>0</v>
      </c>
      <c r="N56" s="34"/>
      <c r="O56" s="217"/>
    </row>
    <row r="57" spans="1:15" s="6" customFormat="1" ht="15" customHeight="1" x14ac:dyDescent="0.2">
      <c r="A57" s="116">
        <v>57</v>
      </c>
      <c r="B57" s="441"/>
      <c r="C57" s="65"/>
      <c r="D57" s="65"/>
      <c r="E57" s="143"/>
      <c r="F57" s="143"/>
      <c r="G57" s="65"/>
      <c r="H57" s="65"/>
      <c r="I57" s="65"/>
      <c r="J57" s="65"/>
      <c r="K57" s="36"/>
      <c r="L57" s="441"/>
      <c r="M57" s="441"/>
      <c r="N57" s="34"/>
      <c r="O57" s="217"/>
    </row>
    <row r="58" spans="1:15" s="6" customFormat="1" ht="15" customHeight="1" x14ac:dyDescent="0.2">
      <c r="A58" s="116">
        <v>58</v>
      </c>
      <c r="B58" s="441"/>
      <c r="C58" s="65"/>
      <c r="D58" s="65"/>
      <c r="E58" s="143"/>
      <c r="F58" s="144" t="s">
        <v>263</v>
      </c>
      <c r="G58" s="65"/>
      <c r="H58" s="656" t="s">
        <v>933</v>
      </c>
      <c r="I58" s="657"/>
      <c r="J58" s="657"/>
      <c r="K58" s="657"/>
      <c r="L58" s="657"/>
      <c r="M58" s="658"/>
      <c r="N58" s="34"/>
      <c r="O58" s="217"/>
    </row>
    <row r="59" spans="1:15" s="6" customFormat="1" ht="15" customHeight="1" x14ac:dyDescent="0.2">
      <c r="A59" s="116">
        <v>59</v>
      </c>
      <c r="B59" s="441"/>
      <c r="C59" s="65"/>
      <c r="D59" s="65"/>
      <c r="E59" s="143"/>
      <c r="F59" s="65"/>
      <c r="G59" s="65"/>
      <c r="H59" s="659"/>
      <c r="I59" s="660"/>
      <c r="J59" s="660"/>
      <c r="K59" s="660"/>
      <c r="L59" s="660"/>
      <c r="M59" s="661"/>
      <c r="N59" s="34"/>
      <c r="O59" s="217"/>
    </row>
    <row r="60" spans="1:15" s="114" customFormat="1" ht="15" customHeight="1" x14ac:dyDescent="0.2">
      <c r="A60" s="116">
        <v>60</v>
      </c>
      <c r="B60" s="441"/>
      <c r="C60" s="441"/>
      <c r="D60" s="441"/>
      <c r="E60" s="441"/>
      <c r="F60" s="441"/>
      <c r="G60" s="441"/>
      <c r="H60" s="441"/>
      <c r="I60" s="441"/>
      <c r="J60" s="441"/>
      <c r="K60" s="441"/>
      <c r="L60" s="441"/>
      <c r="M60" s="441"/>
      <c r="N60" s="34"/>
      <c r="O60" s="217"/>
    </row>
    <row r="61" spans="1:15" s="6" customFormat="1" ht="15" customHeight="1" x14ac:dyDescent="0.2">
      <c r="A61" s="116">
        <v>61</v>
      </c>
      <c r="B61" s="441"/>
      <c r="C61" s="441"/>
      <c r="D61" s="441"/>
      <c r="E61" s="143"/>
      <c r="F61" s="441"/>
      <c r="G61" s="441"/>
      <c r="H61" s="441"/>
      <c r="I61" s="441"/>
      <c r="J61" s="441"/>
      <c r="K61" s="441"/>
      <c r="L61" s="463" t="s">
        <v>127</v>
      </c>
      <c r="M61" s="463"/>
      <c r="N61" s="34"/>
      <c r="O61" s="217"/>
    </row>
    <row r="62" spans="1:15" s="6" customFormat="1" ht="15" customHeight="1" x14ac:dyDescent="0.2">
      <c r="A62" s="116">
        <v>62</v>
      </c>
      <c r="B62" s="441"/>
      <c r="C62" s="65"/>
      <c r="D62" s="65"/>
      <c r="E62" s="117" t="s">
        <v>264</v>
      </c>
      <c r="F62" s="65"/>
      <c r="G62" s="65"/>
      <c r="H62" s="65"/>
      <c r="I62" s="65"/>
      <c r="J62" s="451"/>
      <c r="K62" s="441"/>
      <c r="L62" s="317" t="s">
        <v>121</v>
      </c>
      <c r="M62" s="317" t="s">
        <v>256</v>
      </c>
      <c r="N62" s="34"/>
      <c r="O62" s="217"/>
    </row>
    <row r="63" spans="1:15" s="6" customFormat="1" ht="15" customHeight="1" x14ac:dyDescent="0.2">
      <c r="A63" s="116">
        <v>63</v>
      </c>
      <c r="B63" s="441"/>
      <c r="C63" s="65"/>
      <c r="D63" s="65"/>
      <c r="E63" s="143"/>
      <c r="F63" s="144" t="s">
        <v>1</v>
      </c>
      <c r="G63" s="65"/>
      <c r="H63" s="584" t="s">
        <v>933</v>
      </c>
      <c r="I63" s="65"/>
      <c r="J63" s="209"/>
      <c r="K63" s="36" t="s">
        <v>258</v>
      </c>
      <c r="L63" s="581">
        <v>0</v>
      </c>
      <c r="M63" s="581">
        <v>0</v>
      </c>
      <c r="N63" s="34"/>
      <c r="O63" s="217"/>
    </row>
    <row r="64" spans="1:15" s="6" customFormat="1" ht="15" customHeight="1" x14ac:dyDescent="0.2">
      <c r="A64" s="116">
        <v>64</v>
      </c>
      <c r="B64" s="441"/>
      <c r="C64" s="65"/>
      <c r="D64" s="65"/>
      <c r="E64" s="143"/>
      <c r="F64" s="144" t="s">
        <v>259</v>
      </c>
      <c r="G64" s="65"/>
      <c r="H64" s="584" t="s">
        <v>933</v>
      </c>
      <c r="I64" s="65"/>
      <c r="J64" s="209"/>
      <c r="K64" s="36" t="s">
        <v>260</v>
      </c>
      <c r="L64" s="581">
        <v>0</v>
      </c>
      <c r="M64" s="581">
        <v>0</v>
      </c>
      <c r="N64" s="34"/>
      <c r="O64" s="217"/>
    </row>
    <row r="65" spans="1:15" s="6" customFormat="1" ht="15" customHeight="1" x14ac:dyDescent="0.2">
      <c r="A65" s="116">
        <v>65</v>
      </c>
      <c r="B65" s="441"/>
      <c r="C65" s="65"/>
      <c r="D65" s="65"/>
      <c r="E65" s="143"/>
      <c r="F65" s="144" t="s">
        <v>261</v>
      </c>
      <c r="G65" s="65"/>
      <c r="H65" s="584" t="s">
        <v>933</v>
      </c>
      <c r="I65" s="65"/>
      <c r="J65" s="209"/>
      <c r="K65" s="36" t="s">
        <v>262</v>
      </c>
      <c r="L65" s="342">
        <f>L63-L64</f>
        <v>0</v>
      </c>
      <c r="M65" s="342">
        <f>M63-M64</f>
        <v>0</v>
      </c>
      <c r="N65" s="34"/>
      <c r="O65" s="217"/>
    </row>
    <row r="66" spans="1:15" s="6" customFormat="1" ht="15" customHeight="1" x14ac:dyDescent="0.2">
      <c r="A66" s="116">
        <v>66</v>
      </c>
      <c r="B66" s="441"/>
      <c r="C66" s="65"/>
      <c r="D66" s="65"/>
      <c r="E66" s="143"/>
      <c r="F66" s="143"/>
      <c r="G66" s="65"/>
      <c r="H66" s="65"/>
      <c r="I66" s="65"/>
      <c r="J66" s="65"/>
      <c r="K66" s="36"/>
      <c r="L66" s="441"/>
      <c r="M66" s="441"/>
      <c r="N66" s="34"/>
      <c r="O66" s="217"/>
    </row>
    <row r="67" spans="1:15" s="6" customFormat="1" ht="15" customHeight="1" x14ac:dyDescent="0.2">
      <c r="A67" s="116">
        <v>67</v>
      </c>
      <c r="B67" s="441"/>
      <c r="C67" s="65"/>
      <c r="D67" s="65"/>
      <c r="E67" s="143"/>
      <c r="F67" s="144" t="s">
        <v>263</v>
      </c>
      <c r="G67" s="65"/>
      <c r="H67" s="656" t="s">
        <v>933</v>
      </c>
      <c r="I67" s="657"/>
      <c r="J67" s="657"/>
      <c r="K67" s="657"/>
      <c r="L67" s="657"/>
      <c r="M67" s="658"/>
      <c r="N67" s="34"/>
      <c r="O67" s="217"/>
    </row>
    <row r="68" spans="1:15" s="6" customFormat="1" ht="15" customHeight="1" x14ac:dyDescent="0.2">
      <c r="A68" s="116">
        <v>68</v>
      </c>
      <c r="B68" s="441"/>
      <c r="C68" s="65"/>
      <c r="D68" s="65"/>
      <c r="E68" s="143"/>
      <c r="F68" s="65"/>
      <c r="G68" s="65"/>
      <c r="H68" s="659"/>
      <c r="I68" s="660"/>
      <c r="J68" s="660"/>
      <c r="K68" s="660"/>
      <c r="L68" s="660"/>
      <c r="M68" s="661"/>
      <c r="N68" s="34"/>
      <c r="O68" s="217"/>
    </row>
    <row r="69" spans="1:15" s="230" customFormat="1" ht="15" customHeight="1" x14ac:dyDescent="0.2">
      <c r="A69" s="116">
        <v>69</v>
      </c>
      <c r="B69" s="242"/>
      <c r="C69" s="242"/>
      <c r="D69" s="242"/>
      <c r="E69" s="429"/>
      <c r="F69" s="242"/>
      <c r="G69" s="242"/>
      <c r="H69" s="242"/>
      <c r="I69" s="242"/>
      <c r="J69" s="242"/>
      <c r="K69" s="242"/>
      <c r="L69" s="242"/>
      <c r="M69" s="242"/>
      <c r="N69" s="245"/>
      <c r="O69" s="229"/>
    </row>
    <row r="70" spans="1:15" s="230" customFormat="1" ht="15" customHeight="1" x14ac:dyDescent="0.2">
      <c r="A70" s="116">
        <v>70</v>
      </c>
      <c r="B70" s="242"/>
      <c r="C70" s="242"/>
      <c r="D70" s="242"/>
      <c r="E70" s="429"/>
      <c r="F70" s="242"/>
      <c r="G70" s="242"/>
      <c r="H70" s="242"/>
      <c r="I70" s="242"/>
      <c r="J70" s="242"/>
      <c r="K70" s="242"/>
      <c r="L70" s="431" t="s">
        <v>127</v>
      </c>
      <c r="M70" s="431"/>
      <c r="N70" s="245"/>
      <c r="O70" s="229"/>
    </row>
    <row r="71" spans="1:15" s="252" customFormat="1" ht="15" customHeight="1" x14ac:dyDescent="0.2">
      <c r="A71" s="116">
        <v>71</v>
      </c>
      <c r="B71" s="441"/>
      <c r="C71" s="65"/>
      <c r="D71" s="65"/>
      <c r="E71" s="117" t="s">
        <v>265</v>
      </c>
      <c r="F71" s="65"/>
      <c r="G71" s="65"/>
      <c r="H71" s="65"/>
      <c r="I71" s="65"/>
      <c r="J71" s="451"/>
      <c r="K71" s="441"/>
      <c r="L71" s="430" t="s">
        <v>121</v>
      </c>
      <c r="M71" s="430" t="s">
        <v>256</v>
      </c>
      <c r="N71" s="34"/>
      <c r="O71" s="251"/>
    </row>
    <row r="72" spans="1:15" s="252" customFormat="1" ht="15" customHeight="1" x14ac:dyDescent="0.2">
      <c r="A72" s="116">
        <v>72</v>
      </c>
      <c r="B72" s="441"/>
      <c r="C72" s="65"/>
      <c r="D72" s="65"/>
      <c r="E72" s="143"/>
      <c r="F72" s="144" t="s">
        <v>1</v>
      </c>
      <c r="G72" s="65"/>
      <c r="H72" s="584" t="s">
        <v>933</v>
      </c>
      <c r="I72" s="65"/>
      <c r="J72" s="209"/>
      <c r="K72" s="36" t="s">
        <v>258</v>
      </c>
      <c r="L72" s="581">
        <v>0</v>
      </c>
      <c r="M72" s="581">
        <v>0</v>
      </c>
      <c r="N72" s="34"/>
      <c r="O72" s="251"/>
    </row>
    <row r="73" spans="1:15" s="252" customFormat="1" ht="15" customHeight="1" x14ac:dyDescent="0.2">
      <c r="A73" s="116">
        <v>73</v>
      </c>
      <c r="B73" s="441"/>
      <c r="C73" s="65"/>
      <c r="D73" s="65"/>
      <c r="E73" s="143"/>
      <c r="F73" s="144" t="s">
        <v>259</v>
      </c>
      <c r="G73" s="65"/>
      <c r="H73" s="584" t="s">
        <v>933</v>
      </c>
      <c r="I73" s="65"/>
      <c r="J73" s="209"/>
      <c r="K73" s="36" t="s">
        <v>260</v>
      </c>
      <c r="L73" s="581">
        <v>0</v>
      </c>
      <c r="M73" s="581">
        <v>0</v>
      </c>
      <c r="N73" s="34"/>
      <c r="O73" s="251"/>
    </row>
    <row r="74" spans="1:15" s="252" customFormat="1" ht="15" customHeight="1" x14ac:dyDescent="0.2">
      <c r="A74" s="116">
        <v>74</v>
      </c>
      <c r="B74" s="441"/>
      <c r="C74" s="65"/>
      <c r="D74" s="65"/>
      <c r="E74" s="143"/>
      <c r="F74" s="144" t="s">
        <v>261</v>
      </c>
      <c r="G74" s="65"/>
      <c r="H74" s="584" t="s">
        <v>933</v>
      </c>
      <c r="I74" s="65"/>
      <c r="J74" s="209"/>
      <c r="K74" s="36" t="s">
        <v>262</v>
      </c>
      <c r="L74" s="342">
        <f>L72-L73</f>
        <v>0</v>
      </c>
      <c r="M74" s="342">
        <f>M72-M73</f>
        <v>0</v>
      </c>
      <c r="N74" s="34"/>
      <c r="O74" s="251"/>
    </row>
    <row r="75" spans="1:15" s="252" customFormat="1" ht="15" customHeight="1" x14ac:dyDescent="0.2">
      <c r="A75" s="116">
        <v>75</v>
      </c>
      <c r="B75" s="441"/>
      <c r="C75" s="65"/>
      <c r="D75" s="65"/>
      <c r="E75" s="143"/>
      <c r="F75" s="143"/>
      <c r="G75" s="65"/>
      <c r="H75" s="65"/>
      <c r="I75" s="65"/>
      <c r="J75" s="65"/>
      <c r="K75" s="36"/>
      <c r="L75" s="441"/>
      <c r="M75" s="441"/>
      <c r="N75" s="34"/>
      <c r="O75" s="251"/>
    </row>
    <row r="76" spans="1:15" s="252" customFormat="1" ht="15" customHeight="1" x14ac:dyDescent="0.2">
      <c r="A76" s="116">
        <v>76</v>
      </c>
      <c r="B76" s="441"/>
      <c r="C76" s="65"/>
      <c r="D76" s="65"/>
      <c r="E76" s="143"/>
      <c r="F76" s="144" t="s">
        <v>263</v>
      </c>
      <c r="G76" s="65"/>
      <c r="H76" s="656" t="s">
        <v>933</v>
      </c>
      <c r="I76" s="657"/>
      <c r="J76" s="657"/>
      <c r="K76" s="657"/>
      <c r="L76" s="657"/>
      <c r="M76" s="658"/>
      <c r="N76" s="34"/>
      <c r="O76" s="251"/>
    </row>
    <row r="77" spans="1:15" s="252" customFormat="1" ht="15" customHeight="1" x14ac:dyDescent="0.2">
      <c r="A77" s="116">
        <v>77</v>
      </c>
      <c r="B77" s="441"/>
      <c r="C77" s="65"/>
      <c r="D77" s="65"/>
      <c r="E77" s="143"/>
      <c r="F77" s="65"/>
      <c r="G77" s="65"/>
      <c r="H77" s="659"/>
      <c r="I77" s="660"/>
      <c r="J77" s="660"/>
      <c r="K77" s="660"/>
      <c r="L77" s="660"/>
      <c r="M77" s="661"/>
      <c r="N77" s="34"/>
      <c r="O77" s="251"/>
    </row>
    <row r="78" spans="1:15" s="230" customFormat="1" ht="15" customHeight="1" x14ac:dyDescent="0.2">
      <c r="A78" s="567">
        <v>78</v>
      </c>
      <c r="B78" s="232"/>
      <c r="C78" s="235"/>
      <c r="D78" s="235"/>
      <c r="E78" s="263"/>
      <c r="F78" s="235"/>
      <c r="G78" s="235"/>
      <c r="H78" s="264"/>
      <c r="I78" s="264"/>
      <c r="J78" s="264"/>
      <c r="K78" s="264"/>
      <c r="L78" s="264"/>
      <c r="M78" s="264"/>
      <c r="N78" s="233"/>
      <c r="O78" s="537" t="s">
        <v>894</v>
      </c>
    </row>
    <row r="79" spans="1:15" s="6" customFormat="1" ht="15" customHeight="1" x14ac:dyDescent="0.2">
      <c r="A79" s="116">
        <v>79</v>
      </c>
      <c r="B79" s="451"/>
      <c r="C79" s="655" t="s">
        <v>266</v>
      </c>
      <c r="D79" s="655"/>
      <c r="E79" s="655"/>
      <c r="F79" s="655"/>
      <c r="G79" s="655"/>
      <c r="H79" s="655"/>
      <c r="I79" s="655"/>
      <c r="J79" s="655"/>
      <c r="K79" s="655"/>
      <c r="L79" s="655"/>
      <c r="M79" s="655"/>
      <c r="N79" s="34"/>
      <c r="O79" s="217"/>
    </row>
    <row r="80" spans="1:15" s="114" customFormat="1" ht="15" customHeight="1" x14ac:dyDescent="0.2">
      <c r="A80" s="116">
        <v>80</v>
      </c>
      <c r="B80" s="451"/>
      <c r="C80" s="538" t="s">
        <v>670</v>
      </c>
      <c r="D80" s="539"/>
      <c r="E80" s="539"/>
      <c r="F80" s="539"/>
      <c r="G80" s="540"/>
      <c r="H80" s="540"/>
      <c r="I80" s="540"/>
      <c r="J80" s="540"/>
      <c r="K80" s="540"/>
      <c r="L80" s="540"/>
      <c r="M80" s="540"/>
      <c r="N80" s="34"/>
      <c r="O80" s="217"/>
    </row>
    <row r="81" spans="1:15" s="6" customFormat="1" ht="12.75" customHeight="1" x14ac:dyDescent="0.2">
      <c r="A81" s="39"/>
      <c r="B81" s="259"/>
      <c r="C81" s="40"/>
      <c r="D81" s="40"/>
      <c r="E81" s="109"/>
      <c r="F81" s="40"/>
      <c r="G81" s="40"/>
      <c r="H81" s="40"/>
      <c r="I81" s="40"/>
      <c r="J81" s="40"/>
      <c r="K81" s="40"/>
      <c r="L81" s="40"/>
      <c r="M81" s="40"/>
      <c r="N81" s="47"/>
      <c r="O81" s="217"/>
    </row>
  </sheetData>
  <sheetProtection sheet="1" objects="1" formatRows="0" insertRows="0"/>
  <customSheetViews>
    <customSheetView guid="{21F2E024-704F-4E93-AC63-213755ECFFE0}" scale="55" showPageBreaks="1" showGridLines="0" fitToPage="1" printArea="1" view="pageBreakPreview">
      <pane ySplit="6" topLeftCell="A7" activePane="bottomLeft" state="frozen"/>
      <selection pane="bottomLeft"/>
      <colBreaks count="1" manualBreakCount="1">
        <brk id="14" max="77" man="1"/>
      </colBreaks>
      <pageMargins left="0.70866141732283472" right="0.70866141732283472" top="0.74803149606299213" bottom="0.74803149606299213" header="0.31496062992125984" footer="0.31496062992125984"/>
      <pageSetup paperSize="9" scale="51" fitToHeight="0" orientation="portrait" r:id="rId1"/>
      <headerFooter>
        <oddHeader>&amp;C&amp;"Arial"&amp;10 Commerce Commission Information Disclosure Template</oddHeader>
        <oddFooter>&amp;L&amp;"Arial"&amp;10 &amp;F&amp;C&amp;"Arial"&amp;10 &amp;A&amp;R&amp;"Arial"&amp;10 &amp;P</oddFooter>
      </headerFooter>
    </customSheetView>
  </customSheetViews>
  <mergeCells count="8">
    <mergeCell ref="K2:M2"/>
    <mergeCell ref="K3:M3"/>
    <mergeCell ref="C79:M79"/>
    <mergeCell ref="A5:M5"/>
    <mergeCell ref="H76:M77"/>
    <mergeCell ref="H58:M59"/>
    <mergeCell ref="C8:I9"/>
    <mergeCell ref="H67:M68"/>
  </mergeCells>
  <dataValidations count="1">
    <dataValidation allowBlank="1" showInputMessage="1" showErrorMessage="1" prompt="Please enter text" sqref="H54:H56 H58 H67 H72:H74 H63:H65 H76"/>
  </dataValidations>
  <pageMargins left="0.70866141732283472" right="0.70866141732283472" top="0.74803149606299213" bottom="0.74803149606299213" header="0.31496062992125984" footer="0.31496062992125984"/>
  <pageSetup paperSize="9" scale="52" orientation="portrait" r:id="rId2"/>
  <headerFooter alignWithMargins="0">
    <oddHeader>&amp;CCommerce Commission Information Disclosure Template</oddHeader>
    <oddFooter>&amp;L&amp;F&amp;C&amp;P&amp;R&amp;A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tint="-0.749992370372631"/>
  </sheetPr>
  <dimension ref="A1:N130"/>
  <sheetViews>
    <sheetView showGridLines="0" zoomScaleNormal="100" zoomScaleSheetLayoutView="100" workbookViewId="0">
      <selection activeCell="N26" sqref="N26"/>
    </sheetView>
  </sheetViews>
  <sheetFormatPr defaultColWidth="9.140625" defaultRowHeight="12.75" x14ac:dyDescent="0.2"/>
  <cols>
    <col min="1" max="1" width="4.5703125" style="6" customWidth="1"/>
    <col min="2" max="2" width="3.140625" style="6" customWidth="1"/>
    <col min="3" max="3" width="5.5703125" style="6" customWidth="1"/>
    <col min="4" max="4" width="0.85546875" style="114" customWidth="1"/>
    <col min="5" max="5" width="1.5703125" style="6" customWidth="1"/>
    <col min="6" max="6" width="2.7109375" style="6" customWidth="1"/>
    <col min="7" max="7" width="62.42578125" style="6" customWidth="1"/>
    <col min="8" max="8" width="24.7109375" style="6" customWidth="1"/>
    <col min="9" max="9" width="9.7109375" style="6" customWidth="1"/>
    <col min="10" max="11" width="16.140625" style="6" customWidth="1"/>
    <col min="12" max="12" width="2.7109375" style="6" customWidth="1"/>
    <col min="13" max="13" width="27.42578125" style="217" customWidth="1"/>
    <col min="14" max="16384" width="9.140625" style="6"/>
  </cols>
  <sheetData>
    <row r="1" spans="1:13" s="10" customFormat="1" ht="15" customHeight="1" x14ac:dyDescent="0.2">
      <c r="A1" s="554"/>
      <c r="B1" s="546"/>
      <c r="C1" s="546"/>
      <c r="D1" s="546"/>
      <c r="E1" s="546"/>
      <c r="F1" s="549"/>
      <c r="G1" s="549"/>
      <c r="H1" s="549"/>
      <c r="I1" s="549"/>
      <c r="J1" s="546"/>
      <c r="K1" s="546"/>
      <c r="L1" s="548"/>
      <c r="M1" s="214"/>
    </row>
    <row r="2" spans="1:13" s="10" customFormat="1" ht="18" customHeight="1" x14ac:dyDescent="0.3">
      <c r="A2" s="48"/>
      <c r="B2" s="49"/>
      <c r="C2" s="49"/>
      <c r="D2" s="49"/>
      <c r="E2" s="49"/>
      <c r="F2" s="449"/>
      <c r="G2" s="449"/>
      <c r="H2" s="94" t="s">
        <v>8</v>
      </c>
      <c r="I2" s="611" t="str">
        <f>IF(NOT(ISBLANK(CoverSheet!$C$8)),CoverSheet!$C$8,"")</f>
        <v>Alpine Energy Limited</v>
      </c>
      <c r="J2" s="611"/>
      <c r="K2" s="611"/>
      <c r="L2" s="70"/>
      <c r="M2" s="214"/>
    </row>
    <row r="3" spans="1:13" s="10" customFormat="1" ht="18" customHeight="1" x14ac:dyDescent="0.25">
      <c r="A3" s="48"/>
      <c r="B3" s="49"/>
      <c r="C3" s="49"/>
      <c r="D3" s="49"/>
      <c r="E3" s="49"/>
      <c r="F3" s="449"/>
      <c r="G3" s="449"/>
      <c r="H3" s="94" t="s">
        <v>393</v>
      </c>
      <c r="I3" s="612">
        <f>IF(ISNUMBER(CoverSheet!$C$12),CoverSheet!$C$12,"")</f>
        <v>43190</v>
      </c>
      <c r="J3" s="612"/>
      <c r="K3" s="612"/>
      <c r="L3" s="70"/>
      <c r="M3" s="214"/>
    </row>
    <row r="4" spans="1:13" s="10" customFormat="1" ht="20.25" customHeight="1" x14ac:dyDescent="0.35">
      <c r="A4" s="545" t="s">
        <v>533</v>
      </c>
      <c r="B4" s="60"/>
      <c r="C4" s="49"/>
      <c r="D4" s="49"/>
      <c r="E4" s="49"/>
      <c r="F4" s="71"/>
      <c r="G4" s="71"/>
      <c r="H4" s="71"/>
      <c r="I4" s="71"/>
      <c r="J4" s="49"/>
      <c r="K4" s="49"/>
      <c r="L4" s="70"/>
      <c r="M4" s="214"/>
    </row>
    <row r="5" spans="1:13" s="184" customFormat="1" ht="80.25" customHeight="1" x14ac:dyDescent="0.2">
      <c r="A5" s="609" t="s">
        <v>626</v>
      </c>
      <c r="B5" s="613"/>
      <c r="C5" s="613"/>
      <c r="D5" s="613"/>
      <c r="E5" s="613"/>
      <c r="F5" s="613"/>
      <c r="G5" s="613"/>
      <c r="H5" s="613"/>
      <c r="I5" s="613"/>
      <c r="J5" s="613"/>
      <c r="K5" s="613"/>
      <c r="L5" s="183"/>
      <c r="M5" s="213"/>
    </row>
    <row r="6" spans="1:13" s="10" customFormat="1" ht="15" customHeight="1" x14ac:dyDescent="0.2">
      <c r="A6" s="87" t="s">
        <v>623</v>
      </c>
      <c r="B6" s="452"/>
      <c r="C6" s="53"/>
      <c r="D6" s="53"/>
      <c r="E6" s="49"/>
      <c r="F6" s="71"/>
      <c r="G6" s="71"/>
      <c r="H6" s="71"/>
      <c r="I6" s="71"/>
      <c r="J6" s="49"/>
      <c r="K6" s="49"/>
      <c r="L6" s="70"/>
      <c r="M6" s="214"/>
    </row>
    <row r="7" spans="1:13" s="10" customFormat="1" ht="30" customHeight="1" x14ac:dyDescent="0.3">
      <c r="A7" s="116">
        <v>7</v>
      </c>
      <c r="B7" s="209"/>
      <c r="C7" s="164" t="s">
        <v>548</v>
      </c>
      <c r="D7" s="442"/>
      <c r="E7" s="169"/>
      <c r="F7" s="172"/>
      <c r="G7" s="172"/>
      <c r="H7" s="172"/>
      <c r="I7" s="172"/>
      <c r="J7" s="176" t="s">
        <v>127</v>
      </c>
      <c r="K7" s="176" t="s">
        <v>127</v>
      </c>
      <c r="L7" s="34"/>
      <c r="M7" s="215"/>
    </row>
    <row r="8" spans="1:13" s="10" customFormat="1" ht="15" customHeight="1" x14ac:dyDescent="0.2">
      <c r="A8" s="116">
        <v>8</v>
      </c>
      <c r="B8" s="209"/>
      <c r="C8" s="172"/>
      <c r="D8" s="172"/>
      <c r="E8" s="224"/>
      <c r="F8" s="224" t="s">
        <v>420</v>
      </c>
      <c r="G8" s="224"/>
      <c r="H8" s="224"/>
      <c r="I8" s="224"/>
      <c r="J8" s="451"/>
      <c r="K8" s="5">
        <f>K39</f>
        <v>3797.5132499999991</v>
      </c>
      <c r="L8" s="34"/>
      <c r="M8" s="214" t="s">
        <v>614</v>
      </c>
    </row>
    <row r="9" spans="1:13" s="10" customFormat="1" ht="15" customHeight="1" x14ac:dyDescent="0.2">
      <c r="A9" s="116">
        <v>9</v>
      </c>
      <c r="B9" s="209"/>
      <c r="C9" s="172"/>
      <c r="D9" s="172"/>
      <c r="E9" s="224"/>
      <c r="F9" s="224" t="s">
        <v>113</v>
      </c>
      <c r="G9" s="224"/>
      <c r="H9" s="224"/>
      <c r="I9" s="224"/>
      <c r="J9" s="451"/>
      <c r="K9" s="5">
        <f>J53</f>
        <v>6859.4861199999978</v>
      </c>
      <c r="L9" s="34"/>
      <c r="M9" s="214" t="s">
        <v>615</v>
      </c>
    </row>
    <row r="10" spans="1:13" s="10" customFormat="1" ht="15" customHeight="1" x14ac:dyDescent="0.2">
      <c r="A10" s="116">
        <v>10</v>
      </c>
      <c r="B10" s="209"/>
      <c r="C10" s="172"/>
      <c r="D10" s="172"/>
      <c r="E10" s="224"/>
      <c r="F10" s="224" t="s">
        <v>114</v>
      </c>
      <c r="G10" s="224"/>
      <c r="H10" s="224"/>
      <c r="I10" s="224"/>
      <c r="J10" s="451"/>
      <c r="K10" s="5">
        <f>K53</f>
        <v>5811.01127</v>
      </c>
      <c r="L10" s="34"/>
      <c r="M10" s="214" t="s">
        <v>615</v>
      </c>
    </row>
    <row r="11" spans="1:13" s="10" customFormat="1" ht="15" customHeight="1" x14ac:dyDescent="0.2">
      <c r="A11" s="116">
        <v>11</v>
      </c>
      <c r="B11" s="209"/>
      <c r="C11" s="172"/>
      <c r="D11" s="172"/>
      <c r="E11" s="224"/>
      <c r="F11" s="224" t="s">
        <v>115</v>
      </c>
      <c r="G11" s="224"/>
      <c r="H11" s="224"/>
      <c r="I11" s="224"/>
      <c r="J11" s="451"/>
      <c r="K11" s="5">
        <f>K66</f>
        <v>2027.4116000000001</v>
      </c>
      <c r="L11" s="34"/>
      <c r="M11" s="214" t="s">
        <v>616</v>
      </c>
    </row>
    <row r="12" spans="1:13" s="23" customFormat="1" ht="15" customHeight="1" x14ac:dyDescent="0.2">
      <c r="A12" s="116">
        <v>12</v>
      </c>
      <c r="B12" s="209"/>
      <c r="C12" s="172"/>
      <c r="D12" s="172"/>
      <c r="E12" s="224"/>
      <c r="F12" s="224" t="s">
        <v>282</v>
      </c>
      <c r="G12" s="224"/>
      <c r="H12" s="224"/>
      <c r="I12" s="224"/>
      <c r="J12" s="451"/>
      <c r="K12" s="451"/>
      <c r="L12" s="34"/>
      <c r="M12" s="214"/>
    </row>
    <row r="13" spans="1:13" s="10" customFormat="1" ht="15" customHeight="1" x14ac:dyDescent="0.2">
      <c r="A13" s="116">
        <v>13</v>
      </c>
      <c r="B13" s="209"/>
      <c r="C13" s="172"/>
      <c r="D13" s="172"/>
      <c r="E13" s="224"/>
      <c r="F13" s="224"/>
      <c r="G13" s="224" t="s">
        <v>64</v>
      </c>
      <c r="H13" s="224"/>
      <c r="I13" s="224"/>
      <c r="J13" s="5">
        <f>K79</f>
        <v>342.08878000000004</v>
      </c>
      <c r="K13" s="451"/>
      <c r="L13" s="34"/>
      <c r="M13" s="214" t="s">
        <v>617</v>
      </c>
    </row>
    <row r="14" spans="1:13" s="10" customFormat="1" ht="15" customHeight="1" x14ac:dyDescent="0.2">
      <c r="A14" s="116">
        <v>14</v>
      </c>
      <c r="B14" s="209"/>
      <c r="C14" s="172"/>
      <c r="D14" s="172"/>
      <c r="E14" s="224"/>
      <c r="F14" s="224"/>
      <c r="G14" s="224" t="s">
        <v>116</v>
      </c>
      <c r="H14" s="224"/>
      <c r="I14" s="224"/>
      <c r="J14" s="5">
        <f>K91</f>
        <v>0</v>
      </c>
      <c r="K14" s="451"/>
      <c r="L14" s="34"/>
      <c r="M14" s="214" t="s">
        <v>618</v>
      </c>
    </row>
    <row r="15" spans="1:13" s="10" customFormat="1" ht="15" customHeight="1" thickBot="1" x14ac:dyDescent="0.25">
      <c r="A15" s="116">
        <v>15</v>
      </c>
      <c r="B15" s="209"/>
      <c r="C15" s="172"/>
      <c r="D15" s="172"/>
      <c r="E15" s="224"/>
      <c r="F15" s="224"/>
      <c r="G15" s="224" t="s">
        <v>333</v>
      </c>
      <c r="H15" s="224"/>
      <c r="I15" s="224"/>
      <c r="J15" s="5">
        <f>K103</f>
        <v>455.82216</v>
      </c>
      <c r="K15" s="451"/>
      <c r="L15" s="34"/>
      <c r="M15" s="214" t="s">
        <v>619</v>
      </c>
    </row>
    <row r="16" spans="1:13" s="23" customFormat="1" ht="15" customHeight="1" thickBot="1" x14ac:dyDescent="0.25">
      <c r="A16" s="116">
        <v>16</v>
      </c>
      <c r="B16" s="209"/>
      <c r="C16" s="172"/>
      <c r="D16" s="172"/>
      <c r="E16" s="120"/>
      <c r="F16" s="120" t="s">
        <v>281</v>
      </c>
      <c r="G16" s="224"/>
      <c r="H16" s="224"/>
      <c r="I16" s="224"/>
      <c r="J16" s="451"/>
      <c r="K16" s="337">
        <f>SUM(J13:J15)</f>
        <v>797.91093999999998</v>
      </c>
      <c r="L16" s="34"/>
      <c r="M16" s="214"/>
    </row>
    <row r="17" spans="1:14" s="23" customFormat="1" ht="15" customHeight="1" thickBot="1" x14ac:dyDescent="0.25">
      <c r="A17" s="116">
        <v>17</v>
      </c>
      <c r="B17" s="209"/>
      <c r="C17" s="172"/>
      <c r="D17" s="172"/>
      <c r="E17" s="120" t="s">
        <v>567</v>
      </c>
      <c r="F17" s="224"/>
      <c r="G17" s="224"/>
      <c r="H17" s="224"/>
      <c r="I17" s="224"/>
      <c r="J17" s="451"/>
      <c r="K17" s="337">
        <f>K8+K9+K10+K11+K16</f>
        <v>19293.333179999998</v>
      </c>
      <c r="L17" s="34"/>
      <c r="M17" s="214"/>
    </row>
    <row r="18" spans="1:14" s="10" customFormat="1" ht="15" customHeight="1" x14ac:dyDescent="0.2">
      <c r="A18" s="116">
        <v>18</v>
      </c>
      <c r="B18" s="209"/>
      <c r="C18" s="172"/>
      <c r="D18" s="172"/>
      <c r="E18" s="224"/>
      <c r="F18" s="294" t="s">
        <v>748</v>
      </c>
      <c r="G18" s="294"/>
      <c r="H18" s="224"/>
      <c r="I18" s="224"/>
      <c r="J18" s="451"/>
      <c r="K18" s="5">
        <f>K129</f>
        <v>12269.81762</v>
      </c>
      <c r="L18" s="34"/>
      <c r="M18" s="214" t="s">
        <v>846</v>
      </c>
    </row>
    <row r="19" spans="1:14" s="23" customFormat="1" ht="15" customHeight="1" thickBot="1" x14ac:dyDescent="0.25">
      <c r="A19" s="116">
        <v>19</v>
      </c>
      <c r="B19" s="209"/>
      <c r="C19" s="172"/>
      <c r="D19" s="172"/>
      <c r="E19" s="224"/>
      <c r="F19" s="224"/>
      <c r="G19" s="224"/>
      <c r="H19" s="224"/>
      <c r="I19" s="224"/>
      <c r="J19" s="451"/>
      <c r="K19" s="451"/>
      <c r="L19" s="34"/>
      <c r="M19" s="214"/>
    </row>
    <row r="20" spans="1:14" s="10" customFormat="1" ht="15" customHeight="1" thickBot="1" x14ac:dyDescent="0.25">
      <c r="A20" s="116">
        <v>20</v>
      </c>
      <c r="B20" s="209"/>
      <c r="C20" s="172"/>
      <c r="D20" s="172"/>
      <c r="E20" s="168" t="s">
        <v>549</v>
      </c>
      <c r="F20" s="224"/>
      <c r="G20" s="224"/>
      <c r="H20" s="224"/>
      <c r="I20" s="224"/>
      <c r="J20" s="451"/>
      <c r="K20" s="337">
        <f>K17+K18</f>
        <v>31563.150799999996</v>
      </c>
      <c r="L20" s="34"/>
      <c r="M20" s="214"/>
    </row>
    <row r="21" spans="1:14" s="23" customFormat="1" ht="15" customHeight="1" x14ac:dyDescent="0.2">
      <c r="A21" s="116">
        <v>21</v>
      </c>
      <c r="B21" s="209"/>
      <c r="C21" s="172"/>
      <c r="D21" s="171" t="s">
        <v>6</v>
      </c>
      <c r="E21" s="168"/>
      <c r="F21" s="188" t="s">
        <v>550</v>
      </c>
      <c r="G21" s="224"/>
      <c r="H21" s="224"/>
      <c r="I21" s="224"/>
      <c r="J21" s="451"/>
      <c r="K21" s="581">
        <v>0</v>
      </c>
      <c r="L21" s="34"/>
      <c r="M21" s="214"/>
    </row>
    <row r="22" spans="1:14" s="10" customFormat="1" ht="15" customHeight="1" x14ac:dyDescent="0.2">
      <c r="A22" s="116">
        <v>22</v>
      </c>
      <c r="B22" s="209"/>
      <c r="C22" s="169"/>
      <c r="D22" s="171" t="s">
        <v>5</v>
      </c>
      <c r="E22" s="171"/>
      <c r="F22" s="224" t="s">
        <v>573</v>
      </c>
      <c r="G22" s="224"/>
      <c r="H22" s="224"/>
      <c r="I22" s="224"/>
      <c r="J22" s="451"/>
      <c r="K22" s="5">
        <f>SUM(J41+J54+K54+J67+J80+J92+J104)</f>
        <v>4134.5777499999995</v>
      </c>
      <c r="L22" s="34"/>
      <c r="M22" s="214"/>
    </row>
    <row r="23" spans="1:14" s="10" customFormat="1" ht="15" customHeight="1" x14ac:dyDescent="0.2">
      <c r="A23" s="116">
        <v>23</v>
      </c>
      <c r="B23" s="209"/>
      <c r="C23" s="169"/>
      <c r="D23" s="171" t="s">
        <v>6</v>
      </c>
      <c r="E23" s="171"/>
      <c r="F23" s="224" t="s">
        <v>551</v>
      </c>
      <c r="G23" s="224"/>
      <c r="H23" s="224"/>
      <c r="I23" s="224"/>
      <c r="J23" s="451"/>
      <c r="K23" s="581">
        <v>0</v>
      </c>
      <c r="L23" s="34"/>
      <c r="M23" s="214"/>
    </row>
    <row r="24" spans="1:14" s="23" customFormat="1" ht="15" customHeight="1" thickBot="1" x14ac:dyDescent="0.25">
      <c r="A24" s="116">
        <v>24</v>
      </c>
      <c r="B24" s="209"/>
      <c r="C24" s="172"/>
      <c r="D24" s="172"/>
      <c r="E24" s="224"/>
      <c r="F24" s="224"/>
      <c r="G24" s="224"/>
      <c r="H24" s="224"/>
      <c r="I24" s="224"/>
      <c r="J24" s="451"/>
      <c r="K24" s="451"/>
      <c r="L24" s="34"/>
      <c r="M24" s="214"/>
    </row>
    <row r="25" spans="1:14" s="33" customFormat="1" ht="15" customHeight="1" thickBot="1" x14ac:dyDescent="0.25">
      <c r="A25" s="116">
        <v>25</v>
      </c>
      <c r="B25" s="209"/>
      <c r="C25" s="172"/>
      <c r="D25" s="172"/>
      <c r="E25" s="168" t="s">
        <v>233</v>
      </c>
      <c r="F25" s="224"/>
      <c r="G25" s="224"/>
      <c r="H25" s="224"/>
      <c r="I25" s="224"/>
      <c r="J25" s="451"/>
      <c r="K25" s="337">
        <f>K20+K21-K22+K23</f>
        <v>27428.573049999995</v>
      </c>
      <c r="L25" s="34"/>
      <c r="M25" s="214" t="s">
        <v>612</v>
      </c>
    </row>
    <row r="26" spans="1:14" s="33" customFormat="1" ht="30" customHeight="1" x14ac:dyDescent="0.3">
      <c r="A26" s="116">
        <v>26</v>
      </c>
      <c r="B26" s="209"/>
      <c r="C26" s="164" t="s">
        <v>553</v>
      </c>
      <c r="D26" s="442"/>
      <c r="E26" s="169"/>
      <c r="F26" s="172"/>
      <c r="G26" s="172"/>
      <c r="H26" s="172"/>
      <c r="I26" s="172"/>
      <c r="J26" s="178"/>
      <c r="K26" s="176" t="s">
        <v>127</v>
      </c>
      <c r="L26" s="34"/>
      <c r="M26" s="215"/>
      <c r="N26" s="270"/>
    </row>
    <row r="27" spans="1:14" s="10" customFormat="1" ht="15" customHeight="1" x14ac:dyDescent="0.2">
      <c r="A27" s="116">
        <v>27</v>
      </c>
      <c r="B27" s="209"/>
      <c r="C27" s="169"/>
      <c r="D27" s="169"/>
      <c r="E27" s="224"/>
      <c r="F27" s="224"/>
      <c r="G27" s="224" t="s">
        <v>509</v>
      </c>
      <c r="H27" s="224"/>
      <c r="I27" s="224"/>
      <c r="J27" s="172"/>
      <c r="K27" s="581">
        <v>0</v>
      </c>
      <c r="L27" s="34"/>
      <c r="M27" s="214" t="s">
        <v>620</v>
      </c>
    </row>
    <row r="28" spans="1:14" s="10" customFormat="1" ht="15" customHeight="1" x14ac:dyDescent="0.2">
      <c r="A28" s="116">
        <v>28</v>
      </c>
      <c r="B28" s="209"/>
      <c r="C28" s="169"/>
      <c r="D28" s="169"/>
      <c r="E28" s="224"/>
      <c r="F28" s="224"/>
      <c r="G28" s="224" t="s">
        <v>319</v>
      </c>
      <c r="H28" s="224"/>
      <c r="I28" s="224"/>
      <c r="J28" s="172"/>
      <c r="K28" s="581">
        <v>2021.8927799999999</v>
      </c>
      <c r="L28" s="34"/>
      <c r="M28" s="214" t="s">
        <v>620</v>
      </c>
    </row>
    <row r="29" spans="1:14" s="10" customFormat="1" ht="15" customHeight="1" x14ac:dyDescent="0.2">
      <c r="A29" s="116">
        <v>29</v>
      </c>
      <c r="B29" s="209"/>
      <c r="C29" s="169"/>
      <c r="D29" s="169"/>
      <c r="E29" s="224"/>
      <c r="F29" s="224"/>
      <c r="G29" s="224" t="s">
        <v>275</v>
      </c>
      <c r="H29" s="224"/>
      <c r="I29" s="224"/>
      <c r="J29" s="172"/>
      <c r="K29" s="581">
        <v>0</v>
      </c>
      <c r="L29" s="34"/>
      <c r="M29" s="214" t="s">
        <v>620</v>
      </c>
    </row>
    <row r="30" spans="1:14" s="33" customFormat="1" ht="30" customHeight="1" x14ac:dyDescent="0.3">
      <c r="A30" s="116">
        <v>30</v>
      </c>
      <c r="B30" s="209"/>
      <c r="C30" s="164" t="s">
        <v>534</v>
      </c>
      <c r="D30" s="442"/>
      <c r="E30" s="169"/>
      <c r="F30" s="172"/>
      <c r="G30" s="172"/>
      <c r="H30" s="172"/>
      <c r="I30" s="172"/>
      <c r="J30" s="178"/>
      <c r="K30" s="178"/>
      <c r="L30" s="34"/>
      <c r="M30" s="215"/>
    </row>
    <row r="31" spans="1:14" s="10" customFormat="1" x14ac:dyDescent="0.2">
      <c r="A31" s="116">
        <v>31</v>
      </c>
      <c r="B31" s="209"/>
      <c r="C31" s="172"/>
      <c r="D31" s="172"/>
      <c r="E31" s="224"/>
      <c r="F31" s="224"/>
      <c r="G31" s="186" t="s">
        <v>503</v>
      </c>
      <c r="H31" s="224"/>
      <c r="I31" s="224"/>
      <c r="J31" s="176" t="s">
        <v>127</v>
      </c>
      <c r="K31" s="176" t="s">
        <v>127</v>
      </c>
      <c r="L31" s="34"/>
      <c r="M31" s="215"/>
    </row>
    <row r="32" spans="1:14" s="10" customFormat="1" ht="15" customHeight="1" x14ac:dyDescent="0.2">
      <c r="A32" s="116">
        <v>32</v>
      </c>
      <c r="B32" s="209"/>
      <c r="C32" s="172"/>
      <c r="D32" s="172"/>
      <c r="E32" s="224"/>
      <c r="F32" s="224"/>
      <c r="G32" s="586" t="s">
        <v>935</v>
      </c>
      <c r="H32" s="224"/>
      <c r="I32" s="224"/>
      <c r="J32" s="581">
        <v>906.68786999999998</v>
      </c>
      <c r="K32" s="172"/>
      <c r="L32" s="34"/>
      <c r="M32" s="214"/>
    </row>
    <row r="33" spans="1:13" s="23" customFormat="1" ht="15" customHeight="1" x14ac:dyDescent="0.2">
      <c r="A33" s="116">
        <v>33</v>
      </c>
      <c r="B33" s="209"/>
      <c r="C33" s="172"/>
      <c r="D33" s="172"/>
      <c r="E33" s="189"/>
      <c r="F33" s="189"/>
      <c r="G33" s="586" t="s">
        <v>936</v>
      </c>
      <c r="H33" s="189"/>
      <c r="I33" s="189"/>
      <c r="J33" s="581">
        <v>1225.4120199999998</v>
      </c>
      <c r="K33" s="172"/>
      <c r="L33" s="34"/>
      <c r="M33" s="214"/>
    </row>
    <row r="34" spans="1:13" s="23" customFormat="1" ht="15" customHeight="1" x14ac:dyDescent="0.2">
      <c r="A34" s="116">
        <v>34</v>
      </c>
      <c r="B34" s="209"/>
      <c r="C34" s="172"/>
      <c r="D34" s="172"/>
      <c r="E34" s="189"/>
      <c r="F34" s="189"/>
      <c r="G34" s="586" t="s">
        <v>937</v>
      </c>
      <c r="H34" s="189"/>
      <c r="I34" s="189"/>
      <c r="J34" s="581">
        <v>157.00398999999999</v>
      </c>
      <c r="K34" s="172"/>
      <c r="L34" s="34"/>
      <c r="M34" s="214"/>
    </row>
    <row r="35" spans="1:13" s="270" customFormat="1" ht="15" customHeight="1" x14ac:dyDescent="0.2">
      <c r="A35" s="116"/>
      <c r="B35" s="209"/>
      <c r="C35" s="172"/>
      <c r="D35" s="172"/>
      <c r="E35" s="189"/>
      <c r="F35" s="189"/>
      <c r="G35" s="586" t="s">
        <v>938</v>
      </c>
      <c r="H35" s="189"/>
      <c r="I35" s="189"/>
      <c r="J35" s="581">
        <v>506.70221000000004</v>
      </c>
      <c r="K35" s="172"/>
      <c r="L35" s="34"/>
      <c r="M35" s="214"/>
    </row>
    <row r="36" spans="1:13" s="10" customFormat="1" ht="15" customHeight="1" x14ac:dyDescent="0.2">
      <c r="A36" s="116">
        <v>35</v>
      </c>
      <c r="B36" s="209"/>
      <c r="C36" s="172"/>
      <c r="D36" s="172"/>
      <c r="E36" s="189"/>
      <c r="F36" s="189"/>
      <c r="G36" s="586" t="s">
        <v>939</v>
      </c>
      <c r="H36" s="189"/>
      <c r="I36" s="189"/>
      <c r="J36" s="581">
        <v>56.092390000000002</v>
      </c>
      <c r="K36" s="172"/>
      <c r="L36" s="34"/>
      <c r="M36" s="214"/>
    </row>
    <row r="37" spans="1:13" s="10" customFormat="1" ht="15" customHeight="1" x14ac:dyDescent="0.2">
      <c r="A37" s="116">
        <v>36</v>
      </c>
      <c r="B37" s="209"/>
      <c r="C37" s="169"/>
      <c r="D37" s="169"/>
      <c r="E37" s="189"/>
      <c r="F37" s="189"/>
      <c r="G37" s="586" t="s">
        <v>940</v>
      </c>
      <c r="H37" s="189"/>
      <c r="I37" s="189"/>
      <c r="J37" s="581">
        <v>945.61476999999945</v>
      </c>
      <c r="K37" s="172"/>
      <c r="L37" s="34"/>
      <c r="M37" s="214"/>
    </row>
    <row r="38" spans="1:13" s="23" customFormat="1" ht="15" customHeight="1" thickBot="1" x14ac:dyDescent="0.25">
      <c r="A38" s="116">
        <v>37</v>
      </c>
      <c r="B38" s="209"/>
      <c r="C38" s="169"/>
      <c r="D38" s="169"/>
      <c r="E38" s="224"/>
      <c r="F38" s="224"/>
      <c r="G38" s="149" t="s">
        <v>655</v>
      </c>
      <c r="H38" s="224"/>
      <c r="I38" s="224"/>
      <c r="J38" s="224"/>
      <c r="K38" s="172"/>
      <c r="L38" s="34"/>
      <c r="M38" s="214"/>
    </row>
    <row r="39" spans="1:13" s="10" customFormat="1" ht="15" customHeight="1" thickBot="1" x14ac:dyDescent="0.25">
      <c r="A39" s="116">
        <v>38</v>
      </c>
      <c r="B39" s="209"/>
      <c r="C39" s="169"/>
      <c r="D39" s="169"/>
      <c r="E39" s="224"/>
      <c r="F39" s="168" t="s">
        <v>552</v>
      </c>
      <c r="G39" s="224"/>
      <c r="H39" s="224"/>
      <c r="I39" s="224"/>
      <c r="J39" s="172"/>
      <c r="K39" s="464">
        <f>SUM(J32:J37)</f>
        <v>3797.5132499999991</v>
      </c>
      <c r="L39" s="34"/>
      <c r="M39" s="214" t="s">
        <v>593</v>
      </c>
    </row>
    <row r="40" spans="1:13" s="23" customFormat="1" ht="9.9499999999999993" customHeight="1" x14ac:dyDescent="0.2">
      <c r="A40" s="116">
        <v>39</v>
      </c>
      <c r="B40" s="451"/>
      <c r="C40" s="447"/>
      <c r="D40" s="447"/>
      <c r="E40" s="224"/>
      <c r="F40" s="224"/>
      <c r="G40" s="224"/>
      <c r="H40" s="224"/>
      <c r="I40" s="224"/>
      <c r="J40" s="172"/>
      <c r="K40" s="172"/>
      <c r="L40" s="34"/>
      <c r="M40" s="214"/>
    </row>
    <row r="41" spans="1:13" s="10" customFormat="1" ht="15" customHeight="1" thickBot="1" x14ac:dyDescent="0.25">
      <c r="A41" s="116">
        <v>40</v>
      </c>
      <c r="B41" s="209"/>
      <c r="C41" s="169"/>
      <c r="D41" s="171" t="s">
        <v>5</v>
      </c>
      <c r="E41" s="171"/>
      <c r="F41" s="224"/>
      <c r="G41" s="224" t="s">
        <v>490</v>
      </c>
      <c r="H41" s="224"/>
      <c r="I41" s="224"/>
      <c r="J41" s="581">
        <v>2614.4169999999999</v>
      </c>
      <c r="K41" s="172"/>
      <c r="L41" s="34"/>
      <c r="M41" s="214"/>
    </row>
    <row r="42" spans="1:13" s="10" customFormat="1" ht="15" customHeight="1" thickBot="1" x14ac:dyDescent="0.25">
      <c r="A42" s="116">
        <v>41</v>
      </c>
      <c r="B42" s="209"/>
      <c r="C42" s="169"/>
      <c r="D42" s="169"/>
      <c r="E42" s="224"/>
      <c r="F42" s="168" t="s">
        <v>422</v>
      </c>
      <c r="G42" s="224"/>
      <c r="H42" s="224"/>
      <c r="I42" s="224"/>
      <c r="J42" s="172"/>
      <c r="K42" s="456">
        <f>K39-J41</f>
        <v>1183.0962499999991</v>
      </c>
      <c r="L42" s="34"/>
      <c r="M42" s="214"/>
    </row>
    <row r="43" spans="1:13" s="10" customFormat="1" ht="30" customHeight="1" x14ac:dyDescent="0.3">
      <c r="A43" s="116">
        <v>42</v>
      </c>
      <c r="B43" s="209"/>
      <c r="C43" s="164" t="s">
        <v>535</v>
      </c>
      <c r="D43" s="442"/>
      <c r="E43" s="224"/>
      <c r="F43" s="224"/>
      <c r="G43" s="224"/>
      <c r="H43" s="224"/>
      <c r="I43" s="224"/>
      <c r="J43" s="663" t="s">
        <v>243</v>
      </c>
      <c r="K43" s="664" t="s">
        <v>242</v>
      </c>
      <c r="L43" s="34"/>
      <c r="M43" s="215"/>
    </row>
    <row r="44" spans="1:13" s="10" customFormat="1" x14ac:dyDescent="0.2">
      <c r="A44" s="116">
        <v>43</v>
      </c>
      <c r="B44" s="209"/>
      <c r="C44" s="169"/>
      <c r="D44" s="169"/>
      <c r="E44" s="224"/>
      <c r="F44" s="224"/>
      <c r="G44" s="224"/>
      <c r="H44" s="224"/>
      <c r="I44" s="224"/>
      <c r="J44" s="663"/>
      <c r="K44" s="663"/>
      <c r="L44" s="34"/>
      <c r="M44" s="215"/>
    </row>
    <row r="45" spans="1:13" s="10" customFormat="1" x14ac:dyDescent="0.2">
      <c r="A45" s="116">
        <v>44</v>
      </c>
      <c r="B45" s="209"/>
      <c r="C45" s="169"/>
      <c r="D45" s="169"/>
      <c r="E45" s="224"/>
      <c r="F45" s="224"/>
      <c r="G45" s="224"/>
      <c r="H45" s="224"/>
      <c r="I45" s="224"/>
      <c r="J45" s="435" t="s">
        <v>127</v>
      </c>
      <c r="K45" s="435" t="s">
        <v>127</v>
      </c>
      <c r="L45" s="34"/>
      <c r="M45" s="215"/>
    </row>
    <row r="46" spans="1:13" s="10" customFormat="1" ht="15" customHeight="1" x14ac:dyDescent="0.2">
      <c r="A46" s="116">
        <v>45</v>
      </c>
      <c r="B46" s="209"/>
      <c r="C46" s="169"/>
      <c r="D46" s="169"/>
      <c r="E46" s="224"/>
      <c r="F46" s="224"/>
      <c r="G46" s="224" t="s">
        <v>443</v>
      </c>
      <c r="H46" s="224"/>
      <c r="I46" s="224"/>
      <c r="J46" s="581">
        <v>785.01801999999998</v>
      </c>
      <c r="K46" s="581">
        <v>0</v>
      </c>
      <c r="L46" s="34"/>
      <c r="M46" s="214"/>
    </row>
    <row r="47" spans="1:13" s="10" customFormat="1" ht="15" customHeight="1" x14ac:dyDescent="0.2">
      <c r="A47" s="116">
        <v>46</v>
      </c>
      <c r="B47" s="209"/>
      <c r="C47" s="169"/>
      <c r="D47" s="169"/>
      <c r="E47" s="224"/>
      <c r="F47" s="224"/>
      <c r="G47" s="224" t="s">
        <v>65</v>
      </c>
      <c r="H47" s="224"/>
      <c r="I47" s="224"/>
      <c r="J47" s="581">
        <v>3560.2781099999988</v>
      </c>
      <c r="K47" s="581">
        <v>585.38926999999967</v>
      </c>
      <c r="L47" s="34"/>
      <c r="M47" s="214"/>
    </row>
    <row r="48" spans="1:13" s="10" customFormat="1" ht="15" customHeight="1" x14ac:dyDescent="0.2">
      <c r="A48" s="116">
        <v>47</v>
      </c>
      <c r="B48" s="209"/>
      <c r="C48" s="169"/>
      <c r="D48" s="169"/>
      <c r="E48" s="224"/>
      <c r="F48" s="224"/>
      <c r="G48" s="224" t="s">
        <v>236</v>
      </c>
      <c r="H48" s="224"/>
      <c r="I48" s="224"/>
      <c r="J48" s="581">
        <v>495.26451999999995</v>
      </c>
      <c r="K48" s="581">
        <v>3576.1938300000002</v>
      </c>
      <c r="L48" s="34"/>
      <c r="M48" s="214"/>
    </row>
    <row r="49" spans="1:13" s="10" customFormat="1" ht="15" customHeight="1" x14ac:dyDescent="0.2">
      <c r="A49" s="116">
        <v>48</v>
      </c>
      <c r="B49" s="209"/>
      <c r="C49" s="169"/>
      <c r="D49" s="169"/>
      <c r="E49" s="224"/>
      <c r="F49" s="224"/>
      <c r="G49" s="224" t="s">
        <v>237</v>
      </c>
      <c r="H49" s="224"/>
      <c r="I49" s="224"/>
      <c r="J49" s="581">
        <v>854.07216000000005</v>
      </c>
      <c r="K49" s="581">
        <v>689.72311999999999</v>
      </c>
      <c r="L49" s="34"/>
      <c r="M49" s="214"/>
    </row>
    <row r="50" spans="1:13" s="10" customFormat="1" ht="15" customHeight="1" x14ac:dyDescent="0.2">
      <c r="A50" s="116">
        <v>49</v>
      </c>
      <c r="B50" s="209"/>
      <c r="C50" s="169"/>
      <c r="D50" s="169"/>
      <c r="E50" s="224"/>
      <c r="F50" s="224"/>
      <c r="G50" s="224" t="s">
        <v>238</v>
      </c>
      <c r="H50" s="224"/>
      <c r="I50" s="224"/>
      <c r="J50" s="581">
        <v>624.87950999999998</v>
      </c>
      <c r="K50" s="581">
        <v>402.35987000000006</v>
      </c>
      <c r="L50" s="34"/>
      <c r="M50" s="214"/>
    </row>
    <row r="51" spans="1:13" s="10" customFormat="1" ht="15" customHeight="1" x14ac:dyDescent="0.2">
      <c r="A51" s="116">
        <v>50</v>
      </c>
      <c r="B51" s="209"/>
      <c r="C51" s="169"/>
      <c r="D51" s="169"/>
      <c r="E51" s="224"/>
      <c r="F51" s="224"/>
      <c r="G51" s="224" t="s">
        <v>97</v>
      </c>
      <c r="H51" s="224"/>
      <c r="I51" s="224"/>
      <c r="J51" s="581">
        <v>539.9738000000001</v>
      </c>
      <c r="K51" s="581">
        <v>406.98457999999994</v>
      </c>
      <c r="L51" s="34"/>
      <c r="M51" s="214"/>
    </row>
    <row r="52" spans="1:13" s="10" customFormat="1" ht="15" customHeight="1" thickBot="1" x14ac:dyDescent="0.25">
      <c r="A52" s="116">
        <v>51</v>
      </c>
      <c r="B52" s="209"/>
      <c r="C52" s="169"/>
      <c r="D52" s="169"/>
      <c r="E52" s="224"/>
      <c r="F52" s="224"/>
      <c r="G52" s="224" t="s">
        <v>416</v>
      </c>
      <c r="H52" s="224"/>
      <c r="I52" s="224"/>
      <c r="J52" s="581">
        <v>0</v>
      </c>
      <c r="K52" s="581">
        <v>150.36059999999964</v>
      </c>
      <c r="L52" s="34"/>
      <c r="M52" s="214"/>
    </row>
    <row r="53" spans="1:13" s="10" customFormat="1" ht="15" customHeight="1" thickBot="1" x14ac:dyDescent="0.25">
      <c r="A53" s="116">
        <v>52</v>
      </c>
      <c r="B53" s="451"/>
      <c r="C53" s="447"/>
      <c r="D53" s="447"/>
      <c r="E53" s="224"/>
      <c r="F53" s="168" t="s">
        <v>554</v>
      </c>
      <c r="G53" s="224"/>
      <c r="H53" s="224"/>
      <c r="I53" s="224"/>
      <c r="J53" s="456">
        <f>SUM(J46:J52)</f>
        <v>6859.4861199999978</v>
      </c>
      <c r="K53" s="456">
        <f>SUM(K46:K52)</f>
        <v>5811.01127</v>
      </c>
      <c r="L53" s="34"/>
      <c r="M53" s="214" t="s">
        <v>847</v>
      </c>
    </row>
    <row r="54" spans="1:13" s="33" customFormat="1" ht="15" customHeight="1" thickBot="1" x14ac:dyDescent="0.25">
      <c r="A54" s="116">
        <v>53</v>
      </c>
      <c r="B54" s="209"/>
      <c r="C54" s="169"/>
      <c r="D54" s="171" t="s">
        <v>5</v>
      </c>
      <c r="E54" s="171"/>
      <c r="F54" s="224"/>
      <c r="G54" s="224" t="s">
        <v>489</v>
      </c>
      <c r="H54" s="224"/>
      <c r="I54" s="224"/>
      <c r="J54" s="581">
        <v>1116.953</v>
      </c>
      <c r="K54" s="581">
        <v>354.84258</v>
      </c>
      <c r="L54" s="34"/>
      <c r="M54" s="214"/>
    </row>
    <row r="55" spans="1:13" s="33" customFormat="1" ht="15" customHeight="1" thickBot="1" x14ac:dyDescent="0.25">
      <c r="A55" s="116">
        <v>54</v>
      </c>
      <c r="B55" s="209"/>
      <c r="C55" s="169"/>
      <c r="D55" s="169"/>
      <c r="E55" s="224"/>
      <c r="F55" s="168" t="s">
        <v>493</v>
      </c>
      <c r="G55" s="224"/>
      <c r="H55" s="224"/>
      <c r="I55" s="224"/>
      <c r="J55" s="465">
        <f>J53-J54</f>
        <v>5742.5331199999982</v>
      </c>
      <c r="K55" s="456">
        <f>K53-K54</f>
        <v>5456.1686900000004</v>
      </c>
      <c r="L55" s="34"/>
      <c r="M55" s="214"/>
    </row>
    <row r="56" spans="1:13" ht="15" customHeight="1" x14ac:dyDescent="0.2">
      <c r="A56" s="116">
        <v>55</v>
      </c>
      <c r="B56" s="451"/>
      <c r="C56" s="190"/>
      <c r="D56" s="190"/>
      <c r="E56" s="172"/>
      <c r="F56" s="172"/>
      <c r="G56" s="172"/>
      <c r="H56" s="172"/>
      <c r="I56" s="172"/>
      <c r="J56" s="169"/>
      <c r="K56" s="172"/>
      <c r="L56" s="34"/>
      <c r="M56" s="214"/>
    </row>
    <row r="57" spans="1:13" s="33" customFormat="1" ht="30" customHeight="1" x14ac:dyDescent="0.3">
      <c r="A57" s="116">
        <v>56</v>
      </c>
      <c r="B57" s="209"/>
      <c r="C57" s="164" t="s">
        <v>536</v>
      </c>
      <c r="D57" s="442"/>
      <c r="E57" s="169"/>
      <c r="F57" s="172"/>
      <c r="G57" s="172"/>
      <c r="H57" s="172"/>
      <c r="I57" s="172"/>
      <c r="J57" s="178"/>
      <c r="K57" s="178"/>
      <c r="L57" s="34"/>
      <c r="M57" s="215"/>
    </row>
    <row r="58" spans="1:13" s="20" customFormat="1" ht="13.5" customHeight="1" x14ac:dyDescent="0.2">
      <c r="A58" s="116">
        <v>57</v>
      </c>
      <c r="B58" s="451"/>
      <c r="C58" s="447"/>
      <c r="D58" s="447"/>
      <c r="E58" s="172"/>
      <c r="F58" s="172"/>
      <c r="G58" s="186" t="s">
        <v>504</v>
      </c>
      <c r="H58" s="172"/>
      <c r="I58" s="172"/>
      <c r="J58" s="176" t="s">
        <v>127</v>
      </c>
      <c r="K58" s="176" t="s">
        <v>127</v>
      </c>
      <c r="L58" s="34"/>
      <c r="M58" s="215"/>
    </row>
    <row r="59" spans="1:13" s="20" customFormat="1" ht="15" customHeight="1" x14ac:dyDescent="0.2">
      <c r="A59" s="116">
        <v>58</v>
      </c>
      <c r="B59" s="451"/>
      <c r="C59" s="172"/>
      <c r="D59" s="172"/>
      <c r="E59" s="169"/>
      <c r="F59" s="169"/>
      <c r="G59" s="586" t="s">
        <v>941</v>
      </c>
      <c r="H59" s="169"/>
      <c r="I59" s="169"/>
      <c r="J59" s="581">
        <v>1556.4576499999998</v>
      </c>
      <c r="K59" s="459"/>
      <c r="L59" s="34"/>
      <c r="M59" s="215"/>
    </row>
    <row r="60" spans="1:13" s="20" customFormat="1" ht="15" customHeight="1" x14ac:dyDescent="0.2">
      <c r="A60" s="116">
        <v>59</v>
      </c>
      <c r="B60" s="451"/>
      <c r="C60" s="172"/>
      <c r="D60" s="172"/>
      <c r="E60" s="169"/>
      <c r="F60" s="169"/>
      <c r="G60" s="586" t="s">
        <v>942</v>
      </c>
      <c r="H60" s="169"/>
      <c r="I60" s="169"/>
      <c r="J60" s="581">
        <v>220.07998000000001</v>
      </c>
      <c r="K60" s="451"/>
      <c r="L60" s="34"/>
      <c r="M60" s="214"/>
    </row>
    <row r="61" spans="1:13" s="20" customFormat="1" ht="15" customHeight="1" x14ac:dyDescent="0.2">
      <c r="A61" s="116">
        <v>60</v>
      </c>
      <c r="B61" s="451"/>
      <c r="C61" s="172"/>
      <c r="D61" s="172"/>
      <c r="E61" s="169"/>
      <c r="F61" s="169"/>
      <c r="G61" s="586" t="s">
        <v>943</v>
      </c>
      <c r="H61" s="169"/>
      <c r="I61" s="169"/>
      <c r="J61" s="581">
        <v>168.30985999999999</v>
      </c>
      <c r="K61" s="451"/>
      <c r="L61" s="34"/>
      <c r="M61" s="214"/>
    </row>
    <row r="62" spans="1:13" s="20" customFormat="1" ht="15" customHeight="1" x14ac:dyDescent="0.2">
      <c r="A62" s="116">
        <v>61</v>
      </c>
      <c r="B62" s="451"/>
      <c r="C62" s="179"/>
      <c r="D62" s="179"/>
      <c r="E62" s="169"/>
      <c r="F62" s="169"/>
      <c r="G62" s="586" t="s">
        <v>944</v>
      </c>
      <c r="H62" s="169"/>
      <c r="I62" s="169"/>
      <c r="J62" s="581">
        <v>71.784999999999997</v>
      </c>
      <c r="K62" s="459"/>
      <c r="L62" s="34"/>
      <c r="M62" s="215"/>
    </row>
    <row r="63" spans="1:13" s="20" customFormat="1" ht="15" customHeight="1" x14ac:dyDescent="0.2">
      <c r="A63" s="116">
        <v>62</v>
      </c>
      <c r="B63" s="451"/>
      <c r="C63" s="169"/>
      <c r="D63" s="169"/>
      <c r="E63" s="169"/>
      <c r="F63" s="169"/>
      <c r="G63" s="586" t="s">
        <v>945</v>
      </c>
      <c r="H63" s="169"/>
      <c r="I63" s="169"/>
      <c r="J63" s="581">
        <v>10.779110000000088</v>
      </c>
      <c r="K63" s="451"/>
      <c r="L63" s="34"/>
      <c r="M63" s="214"/>
    </row>
    <row r="64" spans="1:13" s="10" customFormat="1" ht="15" customHeight="1" x14ac:dyDescent="0.2">
      <c r="A64" s="116">
        <v>63</v>
      </c>
      <c r="B64" s="209"/>
      <c r="C64" s="169"/>
      <c r="D64" s="169"/>
      <c r="E64" s="447"/>
      <c r="F64" s="172"/>
      <c r="G64" s="149" t="s">
        <v>655</v>
      </c>
      <c r="H64" s="172"/>
      <c r="I64" s="172"/>
      <c r="J64" s="451"/>
      <c r="K64" s="451"/>
      <c r="L64" s="34"/>
      <c r="M64" s="214"/>
    </row>
    <row r="65" spans="1:13" s="21" customFormat="1" ht="15" customHeight="1" thickBot="1" x14ac:dyDescent="0.25">
      <c r="A65" s="116">
        <v>64</v>
      </c>
      <c r="B65" s="451"/>
      <c r="C65" s="169"/>
      <c r="D65" s="169"/>
      <c r="E65" s="662"/>
      <c r="F65" s="662"/>
      <c r="G65" s="311" t="s">
        <v>691</v>
      </c>
      <c r="H65" s="447"/>
      <c r="I65" s="172"/>
      <c r="J65" s="3">
        <v>0</v>
      </c>
      <c r="K65" s="451"/>
      <c r="L65" s="34"/>
      <c r="M65" s="214"/>
    </row>
    <row r="66" spans="1:13" s="20" customFormat="1" ht="15" customHeight="1" thickBot="1" x14ac:dyDescent="0.25">
      <c r="A66" s="116">
        <v>65</v>
      </c>
      <c r="B66" s="451"/>
      <c r="C66" s="172"/>
      <c r="D66" s="172"/>
      <c r="E66" s="447"/>
      <c r="F66" s="168" t="s">
        <v>555</v>
      </c>
      <c r="G66" s="172"/>
      <c r="H66" s="172"/>
      <c r="I66" s="172"/>
      <c r="J66" s="451"/>
      <c r="K66" s="456">
        <f>SUM(J59:J63)+J65</f>
        <v>2027.4116000000001</v>
      </c>
      <c r="L66" s="34"/>
      <c r="M66" s="214" t="s">
        <v>594</v>
      </c>
    </row>
    <row r="67" spans="1:13" s="20" customFormat="1" ht="15" customHeight="1" thickBot="1" x14ac:dyDescent="0.25">
      <c r="A67" s="116">
        <v>66</v>
      </c>
      <c r="B67" s="451"/>
      <c r="C67" s="169"/>
      <c r="D67" s="171" t="s">
        <v>5</v>
      </c>
      <c r="E67" s="171"/>
      <c r="F67" s="168"/>
      <c r="G67" s="305" t="s">
        <v>653</v>
      </c>
      <c r="H67" s="172"/>
      <c r="I67" s="172"/>
      <c r="J67" s="3">
        <v>0</v>
      </c>
      <c r="K67" s="451"/>
      <c r="L67" s="34"/>
      <c r="M67" s="214"/>
    </row>
    <row r="68" spans="1:13" s="20" customFormat="1" ht="15" customHeight="1" thickBot="1" x14ac:dyDescent="0.25">
      <c r="A68" s="116">
        <v>67</v>
      </c>
      <c r="B68" s="451"/>
      <c r="C68" s="172"/>
      <c r="D68" s="172"/>
      <c r="E68" s="447"/>
      <c r="F68" s="168" t="s">
        <v>277</v>
      </c>
      <c r="G68" s="172"/>
      <c r="H68" s="172"/>
      <c r="I68" s="172"/>
      <c r="J68" s="451"/>
      <c r="K68" s="464">
        <f>K66-J67</f>
        <v>2027.4116000000001</v>
      </c>
      <c r="L68" s="34"/>
      <c r="M68" s="214"/>
    </row>
    <row r="69" spans="1:13" s="135" customFormat="1" ht="15" customHeight="1" x14ac:dyDescent="0.2">
      <c r="A69" s="116">
        <v>68</v>
      </c>
      <c r="B69" s="451"/>
      <c r="C69" s="172"/>
      <c r="D69" s="172"/>
      <c r="E69" s="447"/>
      <c r="F69" s="168"/>
      <c r="G69" s="172"/>
      <c r="H69" s="172"/>
      <c r="I69" s="172"/>
      <c r="J69" s="172"/>
      <c r="K69" s="62"/>
      <c r="L69" s="34"/>
      <c r="M69" s="214"/>
    </row>
    <row r="70" spans="1:13" s="33" customFormat="1" ht="30" customHeight="1" x14ac:dyDescent="0.3">
      <c r="A70" s="116">
        <v>69</v>
      </c>
      <c r="B70" s="437"/>
      <c r="C70" s="164" t="s">
        <v>537</v>
      </c>
      <c r="D70" s="442"/>
      <c r="E70" s="169"/>
      <c r="F70" s="172"/>
      <c r="G70" s="172"/>
      <c r="H70" s="172"/>
      <c r="I70" s="172"/>
      <c r="J70" s="178"/>
      <c r="K70" s="178"/>
      <c r="L70" s="34"/>
      <c r="M70" s="215"/>
    </row>
    <row r="71" spans="1:13" s="29" customFormat="1" ht="18" customHeight="1" x14ac:dyDescent="0.2">
      <c r="A71" s="116">
        <v>70</v>
      </c>
      <c r="B71" s="169"/>
      <c r="C71" s="447"/>
      <c r="D71" s="447"/>
      <c r="E71" s="172"/>
      <c r="F71" s="172"/>
      <c r="G71" s="186" t="s">
        <v>504</v>
      </c>
      <c r="H71" s="172"/>
      <c r="I71" s="172"/>
      <c r="J71" s="176" t="s">
        <v>127</v>
      </c>
      <c r="K71" s="176" t="s">
        <v>127</v>
      </c>
      <c r="L71" s="34"/>
      <c r="M71" s="215"/>
    </row>
    <row r="72" spans="1:13" s="29" customFormat="1" ht="15" customHeight="1" x14ac:dyDescent="0.2">
      <c r="A72" s="116">
        <v>71</v>
      </c>
      <c r="B72" s="169"/>
      <c r="C72" s="172"/>
      <c r="D72" s="172"/>
      <c r="E72" s="169"/>
      <c r="F72" s="169"/>
      <c r="G72" s="586" t="s">
        <v>946</v>
      </c>
      <c r="H72" s="169"/>
      <c r="I72" s="169"/>
      <c r="J72" s="581">
        <v>114.97108</v>
      </c>
      <c r="K72" s="459"/>
      <c r="L72" s="34"/>
      <c r="M72" s="215"/>
    </row>
    <row r="73" spans="1:13" s="29" customFormat="1" ht="15" customHeight="1" x14ac:dyDescent="0.2">
      <c r="A73" s="116">
        <v>72</v>
      </c>
      <c r="B73" s="169"/>
      <c r="C73" s="172"/>
      <c r="D73" s="172"/>
      <c r="E73" s="169"/>
      <c r="F73" s="169"/>
      <c r="G73" s="586" t="s">
        <v>947</v>
      </c>
      <c r="H73" s="169"/>
      <c r="I73" s="169"/>
      <c r="J73" s="581">
        <v>69.074269999999999</v>
      </c>
      <c r="K73" s="451"/>
      <c r="L73" s="34"/>
      <c r="M73" s="214"/>
    </row>
    <row r="74" spans="1:13" s="29" customFormat="1" ht="15" customHeight="1" x14ac:dyDescent="0.2">
      <c r="A74" s="116">
        <v>73</v>
      </c>
      <c r="B74" s="169"/>
      <c r="C74" s="172"/>
      <c r="D74" s="172"/>
      <c r="E74" s="169"/>
      <c r="F74" s="169"/>
      <c r="G74" s="586" t="s">
        <v>948</v>
      </c>
      <c r="H74" s="169"/>
      <c r="I74" s="169"/>
      <c r="J74" s="581">
        <v>158.04343000000006</v>
      </c>
      <c r="K74" s="451"/>
      <c r="L74" s="34"/>
      <c r="M74" s="214"/>
    </row>
    <row r="75" spans="1:13" s="29" customFormat="1" ht="15" customHeight="1" x14ac:dyDescent="0.2">
      <c r="A75" s="116">
        <v>74</v>
      </c>
      <c r="B75" s="169"/>
      <c r="C75" s="179"/>
      <c r="D75" s="179"/>
      <c r="E75" s="169"/>
      <c r="F75" s="169"/>
      <c r="G75" s="461"/>
      <c r="H75" s="169"/>
      <c r="I75" s="169"/>
      <c r="J75" s="3"/>
      <c r="K75" s="459"/>
      <c r="L75" s="34"/>
      <c r="M75" s="215"/>
    </row>
    <row r="76" spans="1:13" s="29" customFormat="1" ht="15" customHeight="1" x14ac:dyDescent="0.2">
      <c r="A76" s="116">
        <v>75</v>
      </c>
      <c r="B76" s="169"/>
      <c r="C76" s="169"/>
      <c r="D76" s="169"/>
      <c r="E76" s="169"/>
      <c r="F76" s="169"/>
      <c r="G76" s="461"/>
      <c r="H76" s="169"/>
      <c r="I76" s="169"/>
      <c r="J76" s="3"/>
      <c r="K76" s="451"/>
      <c r="L76" s="34"/>
      <c r="M76" s="214"/>
    </row>
    <row r="77" spans="1:13" s="33" customFormat="1" ht="15" customHeight="1" x14ac:dyDescent="0.2">
      <c r="A77" s="116">
        <v>76</v>
      </c>
      <c r="B77" s="437"/>
      <c r="C77" s="169"/>
      <c r="D77" s="169"/>
      <c r="E77" s="447"/>
      <c r="F77" s="172"/>
      <c r="G77" s="149" t="s">
        <v>655</v>
      </c>
      <c r="H77" s="172"/>
      <c r="I77" s="172"/>
      <c r="J77" s="451"/>
      <c r="K77" s="451"/>
      <c r="L77" s="34"/>
      <c r="M77" s="214"/>
    </row>
    <row r="78" spans="1:13" s="21" customFormat="1" ht="15" customHeight="1" thickBot="1" x14ac:dyDescent="0.25">
      <c r="A78" s="116">
        <v>77</v>
      </c>
      <c r="B78" s="169"/>
      <c r="C78" s="169"/>
      <c r="D78" s="169"/>
      <c r="E78" s="662"/>
      <c r="F78" s="662"/>
      <c r="G78" s="311" t="s">
        <v>692</v>
      </c>
      <c r="H78" s="447"/>
      <c r="I78" s="172"/>
      <c r="J78" s="3">
        <v>0</v>
      </c>
      <c r="K78" s="451"/>
      <c r="L78" s="34"/>
      <c r="M78" s="214"/>
    </row>
    <row r="79" spans="1:13" s="29" customFormat="1" ht="15" customHeight="1" thickBot="1" x14ac:dyDescent="0.25">
      <c r="A79" s="116">
        <v>78</v>
      </c>
      <c r="B79" s="169"/>
      <c r="C79" s="172"/>
      <c r="D79" s="172"/>
      <c r="E79" s="447"/>
      <c r="F79" s="168" t="s">
        <v>556</v>
      </c>
      <c r="G79" s="172"/>
      <c r="H79" s="172"/>
      <c r="I79" s="172"/>
      <c r="J79" s="451"/>
      <c r="K79" s="456">
        <f>SUM(J72:J76)+J78</f>
        <v>342.08878000000004</v>
      </c>
      <c r="L79" s="34"/>
      <c r="M79" s="214" t="s">
        <v>595</v>
      </c>
    </row>
    <row r="80" spans="1:13" s="33" customFormat="1" ht="15" customHeight="1" thickBot="1" x14ac:dyDescent="0.25">
      <c r="A80" s="116">
        <v>79</v>
      </c>
      <c r="B80" s="437"/>
      <c r="C80" s="169"/>
      <c r="D80" s="171" t="s">
        <v>5</v>
      </c>
      <c r="E80" s="171"/>
      <c r="F80" s="224"/>
      <c r="G80" s="224" t="s">
        <v>424</v>
      </c>
      <c r="H80" s="224"/>
      <c r="I80" s="224"/>
      <c r="J80" s="3">
        <v>0</v>
      </c>
      <c r="K80" s="451"/>
      <c r="L80" s="34"/>
      <c r="M80" s="214"/>
    </row>
    <row r="81" spans="1:13" s="33" customFormat="1" ht="15" customHeight="1" thickBot="1" x14ac:dyDescent="0.25">
      <c r="A81" s="116">
        <v>80</v>
      </c>
      <c r="B81" s="437"/>
      <c r="C81" s="169"/>
      <c r="D81" s="169"/>
      <c r="E81" s="224"/>
      <c r="F81" s="168" t="s">
        <v>426</v>
      </c>
      <c r="G81" s="224"/>
      <c r="H81" s="224"/>
      <c r="I81" s="224"/>
      <c r="J81" s="451"/>
      <c r="K81" s="456">
        <f>K79-J80</f>
        <v>342.08878000000004</v>
      </c>
      <c r="L81" s="34"/>
      <c r="M81" s="214"/>
    </row>
    <row r="82" spans="1:13" s="33" customFormat="1" ht="30" customHeight="1" x14ac:dyDescent="0.3">
      <c r="A82" s="116">
        <v>81</v>
      </c>
      <c r="B82" s="437"/>
      <c r="C82" s="164" t="s">
        <v>538</v>
      </c>
      <c r="D82" s="442"/>
      <c r="E82" s="169"/>
      <c r="F82" s="172"/>
      <c r="G82" s="172"/>
      <c r="H82" s="172"/>
      <c r="I82" s="172"/>
      <c r="J82" s="178"/>
      <c r="K82" s="178"/>
      <c r="L82" s="34"/>
      <c r="M82" s="215"/>
    </row>
    <row r="83" spans="1:13" s="29" customFormat="1" ht="12.75" customHeight="1" x14ac:dyDescent="0.2">
      <c r="A83" s="116">
        <v>82</v>
      </c>
      <c r="B83" s="169"/>
      <c r="C83" s="447"/>
      <c r="D83" s="447"/>
      <c r="E83" s="172"/>
      <c r="F83" s="172"/>
      <c r="G83" s="186" t="s">
        <v>504</v>
      </c>
      <c r="H83" s="172"/>
      <c r="I83" s="172"/>
      <c r="J83" s="176" t="s">
        <v>127</v>
      </c>
      <c r="K83" s="176" t="s">
        <v>127</v>
      </c>
      <c r="L83" s="34"/>
      <c r="M83" s="215"/>
    </row>
    <row r="84" spans="1:13" s="29" customFormat="1" ht="15" customHeight="1" x14ac:dyDescent="0.2">
      <c r="A84" s="116">
        <v>83</v>
      </c>
      <c r="B84" s="169"/>
      <c r="C84" s="172"/>
      <c r="D84" s="172"/>
      <c r="E84" s="169"/>
      <c r="F84" s="169"/>
      <c r="G84" s="586" t="s">
        <v>932</v>
      </c>
      <c r="H84" s="169"/>
      <c r="I84" s="169"/>
      <c r="J84" s="581">
        <v>0</v>
      </c>
      <c r="K84" s="459"/>
      <c r="L84" s="34"/>
      <c r="M84" s="215"/>
    </row>
    <row r="85" spans="1:13" s="29" customFormat="1" ht="15" customHeight="1" x14ac:dyDescent="0.2">
      <c r="A85" s="116">
        <v>84</v>
      </c>
      <c r="B85" s="169"/>
      <c r="C85" s="172"/>
      <c r="D85" s="172"/>
      <c r="E85" s="169"/>
      <c r="F85" s="169"/>
      <c r="G85" s="461"/>
      <c r="H85" s="169"/>
      <c r="I85" s="169"/>
      <c r="J85" s="3"/>
      <c r="K85" s="451"/>
      <c r="L85" s="34"/>
      <c r="M85" s="214"/>
    </row>
    <row r="86" spans="1:13" s="29" customFormat="1" ht="15" customHeight="1" x14ac:dyDescent="0.2">
      <c r="A86" s="116">
        <v>85</v>
      </c>
      <c r="B86" s="169"/>
      <c r="C86" s="172"/>
      <c r="D86" s="172"/>
      <c r="E86" s="169"/>
      <c r="F86" s="169"/>
      <c r="G86" s="461"/>
      <c r="H86" s="169"/>
      <c r="I86" s="169"/>
      <c r="J86" s="3"/>
      <c r="K86" s="451"/>
      <c r="L86" s="34"/>
      <c r="M86" s="214"/>
    </row>
    <row r="87" spans="1:13" s="29" customFormat="1" ht="15" customHeight="1" x14ac:dyDescent="0.2">
      <c r="A87" s="116">
        <v>86</v>
      </c>
      <c r="B87" s="169"/>
      <c r="C87" s="179"/>
      <c r="D87" s="179"/>
      <c r="E87" s="169"/>
      <c r="F87" s="169"/>
      <c r="G87" s="461"/>
      <c r="H87" s="169"/>
      <c r="I87" s="169"/>
      <c r="J87" s="3"/>
      <c r="K87" s="459"/>
      <c r="L87" s="34"/>
      <c r="M87" s="215"/>
    </row>
    <row r="88" spans="1:13" s="29" customFormat="1" ht="15" customHeight="1" x14ac:dyDescent="0.2">
      <c r="A88" s="116">
        <v>87</v>
      </c>
      <c r="B88" s="169"/>
      <c r="C88" s="169"/>
      <c r="D88" s="169"/>
      <c r="E88" s="169"/>
      <c r="F88" s="169"/>
      <c r="G88" s="461"/>
      <c r="H88" s="169"/>
      <c r="I88" s="169"/>
      <c r="J88" s="3"/>
      <c r="K88" s="451"/>
      <c r="L88" s="34"/>
      <c r="M88" s="214"/>
    </row>
    <row r="89" spans="1:13" s="33" customFormat="1" ht="15" customHeight="1" x14ac:dyDescent="0.2">
      <c r="A89" s="116">
        <v>88</v>
      </c>
      <c r="B89" s="437"/>
      <c r="C89" s="169"/>
      <c r="D89" s="169"/>
      <c r="E89" s="447"/>
      <c r="F89" s="172"/>
      <c r="G89" s="149" t="s">
        <v>655</v>
      </c>
      <c r="H89" s="172"/>
      <c r="I89" s="172"/>
      <c r="J89" s="451"/>
      <c r="K89" s="451"/>
      <c r="L89" s="34"/>
      <c r="M89" s="214"/>
    </row>
    <row r="90" spans="1:13" s="21" customFormat="1" ht="15" customHeight="1" thickBot="1" x14ac:dyDescent="0.25">
      <c r="A90" s="116">
        <v>89</v>
      </c>
      <c r="B90" s="169"/>
      <c r="C90" s="169"/>
      <c r="D90" s="169"/>
      <c r="E90" s="662"/>
      <c r="F90" s="662"/>
      <c r="G90" s="311" t="s">
        <v>693</v>
      </c>
      <c r="H90" s="447"/>
      <c r="I90" s="172"/>
      <c r="J90" s="3"/>
      <c r="K90" s="451"/>
      <c r="L90" s="34"/>
      <c r="M90" s="214"/>
    </row>
    <row r="91" spans="1:13" s="29" customFormat="1" ht="15" customHeight="1" thickBot="1" x14ac:dyDescent="0.25">
      <c r="A91" s="116">
        <v>90</v>
      </c>
      <c r="B91" s="169"/>
      <c r="C91" s="172"/>
      <c r="D91" s="172"/>
      <c r="E91" s="447"/>
      <c r="F91" s="168" t="s">
        <v>557</v>
      </c>
      <c r="G91" s="172"/>
      <c r="H91" s="172"/>
      <c r="I91" s="172"/>
      <c r="J91" s="451"/>
      <c r="K91" s="456">
        <f>SUM(J84:J88)+J90</f>
        <v>0</v>
      </c>
      <c r="L91" s="34"/>
      <c r="M91" s="214" t="s">
        <v>596</v>
      </c>
    </row>
    <row r="92" spans="1:13" s="33" customFormat="1" ht="15" customHeight="1" thickBot="1" x14ac:dyDescent="0.25">
      <c r="A92" s="116">
        <v>91</v>
      </c>
      <c r="B92" s="437"/>
      <c r="C92" s="169"/>
      <c r="D92" s="171" t="s">
        <v>5</v>
      </c>
      <c r="E92" s="171"/>
      <c r="F92" s="224"/>
      <c r="G92" s="224" t="s">
        <v>433</v>
      </c>
      <c r="H92" s="224"/>
      <c r="I92" s="224"/>
      <c r="J92" s="3"/>
      <c r="K92" s="451"/>
      <c r="L92" s="34"/>
      <c r="M92" s="214"/>
    </row>
    <row r="93" spans="1:13" s="33" customFormat="1" ht="15" customHeight="1" thickBot="1" x14ac:dyDescent="0.25">
      <c r="A93" s="116">
        <v>92</v>
      </c>
      <c r="B93" s="437"/>
      <c r="C93" s="169"/>
      <c r="D93" s="169"/>
      <c r="E93" s="224"/>
      <c r="F93" s="168" t="s">
        <v>427</v>
      </c>
      <c r="G93" s="224"/>
      <c r="H93" s="224"/>
      <c r="I93" s="224"/>
      <c r="J93" s="451"/>
      <c r="K93" s="456">
        <f>K91-J92</f>
        <v>0</v>
      </c>
      <c r="L93" s="34"/>
      <c r="M93" s="214"/>
    </row>
    <row r="94" spans="1:13" s="33" customFormat="1" ht="30" customHeight="1" x14ac:dyDescent="0.3">
      <c r="A94" s="116">
        <v>93</v>
      </c>
      <c r="B94" s="437"/>
      <c r="C94" s="164" t="s">
        <v>539</v>
      </c>
      <c r="D94" s="442"/>
      <c r="E94" s="169"/>
      <c r="F94" s="172"/>
      <c r="G94" s="172"/>
      <c r="H94" s="172"/>
      <c r="I94" s="172"/>
      <c r="J94" s="178"/>
      <c r="K94" s="178"/>
      <c r="L94" s="34"/>
      <c r="M94" s="215"/>
    </row>
    <row r="95" spans="1:13" s="29" customFormat="1" ht="12.75" customHeight="1" x14ac:dyDescent="0.2">
      <c r="A95" s="116">
        <v>94</v>
      </c>
      <c r="B95" s="169"/>
      <c r="C95" s="447"/>
      <c r="D95" s="447"/>
      <c r="E95" s="172"/>
      <c r="F95" s="172"/>
      <c r="G95" s="186" t="s">
        <v>504</v>
      </c>
      <c r="H95" s="172"/>
      <c r="I95" s="172"/>
      <c r="J95" s="176" t="s">
        <v>127</v>
      </c>
      <c r="K95" s="176" t="s">
        <v>127</v>
      </c>
      <c r="L95" s="34"/>
      <c r="M95" s="215"/>
    </row>
    <row r="96" spans="1:13" s="29" customFormat="1" ht="15" customHeight="1" x14ac:dyDescent="0.2">
      <c r="A96" s="116">
        <v>95</v>
      </c>
      <c r="B96" s="169"/>
      <c r="C96" s="172"/>
      <c r="D96" s="172"/>
      <c r="E96" s="169"/>
      <c r="F96" s="169"/>
      <c r="G96" s="586" t="s">
        <v>949</v>
      </c>
      <c r="H96" s="169"/>
      <c r="I96" s="169"/>
      <c r="J96" s="581">
        <v>22.144969999999997</v>
      </c>
      <c r="K96" s="459"/>
      <c r="L96" s="34"/>
      <c r="M96" s="215"/>
    </row>
    <row r="97" spans="1:13" s="29" customFormat="1" ht="15" customHeight="1" x14ac:dyDescent="0.2">
      <c r="A97" s="116">
        <v>96</v>
      </c>
      <c r="B97" s="169"/>
      <c r="C97" s="172"/>
      <c r="D97" s="172"/>
      <c r="E97" s="169"/>
      <c r="F97" s="169"/>
      <c r="G97" s="586" t="s">
        <v>950</v>
      </c>
      <c r="H97" s="169"/>
      <c r="I97" s="169"/>
      <c r="J97" s="581">
        <v>13.26088</v>
      </c>
      <c r="K97" s="451"/>
      <c r="L97" s="34"/>
      <c r="M97" s="214"/>
    </row>
    <row r="98" spans="1:13" s="29" customFormat="1" ht="15" customHeight="1" x14ac:dyDescent="0.2">
      <c r="A98" s="116">
        <v>97</v>
      </c>
      <c r="B98" s="169"/>
      <c r="C98" s="172"/>
      <c r="D98" s="172"/>
      <c r="E98" s="169"/>
      <c r="F98" s="169"/>
      <c r="G98" s="586" t="s">
        <v>951</v>
      </c>
      <c r="H98" s="169"/>
      <c r="I98" s="169"/>
      <c r="J98" s="581">
        <v>89.94</v>
      </c>
      <c r="K98" s="451"/>
      <c r="L98" s="34"/>
      <c r="M98" s="214"/>
    </row>
    <row r="99" spans="1:13" s="29" customFormat="1" ht="15" customHeight="1" x14ac:dyDescent="0.2">
      <c r="A99" s="116">
        <v>98</v>
      </c>
      <c r="B99" s="169"/>
      <c r="C99" s="179"/>
      <c r="D99" s="179"/>
      <c r="E99" s="169"/>
      <c r="F99" s="169"/>
      <c r="G99" s="586" t="s">
        <v>952</v>
      </c>
      <c r="H99" s="169"/>
      <c r="I99" s="169"/>
      <c r="J99" s="581">
        <v>330.47631000000001</v>
      </c>
      <c r="K99" s="459"/>
      <c r="L99" s="34"/>
      <c r="M99" s="215"/>
    </row>
    <row r="100" spans="1:13" s="29" customFormat="1" ht="15" customHeight="1" x14ac:dyDescent="0.2">
      <c r="A100" s="116">
        <v>99</v>
      </c>
      <c r="B100" s="169"/>
      <c r="C100" s="169"/>
      <c r="D100" s="169"/>
      <c r="E100" s="169"/>
      <c r="F100" s="169"/>
      <c r="G100" s="461"/>
      <c r="H100" s="169"/>
      <c r="I100" s="169"/>
      <c r="J100" s="3"/>
      <c r="K100" s="451"/>
      <c r="L100" s="34"/>
      <c r="M100" s="214"/>
    </row>
    <row r="101" spans="1:13" s="33" customFormat="1" ht="15" customHeight="1" x14ac:dyDescent="0.2">
      <c r="A101" s="116">
        <v>100</v>
      </c>
      <c r="B101" s="437"/>
      <c r="C101" s="169"/>
      <c r="D101" s="169"/>
      <c r="E101" s="447"/>
      <c r="F101" s="172"/>
      <c r="G101" s="149" t="s">
        <v>655</v>
      </c>
      <c r="H101" s="172"/>
      <c r="I101" s="172"/>
      <c r="J101" s="451"/>
      <c r="K101" s="451"/>
      <c r="L101" s="34"/>
      <c r="M101" s="214"/>
    </row>
    <row r="102" spans="1:13" s="21" customFormat="1" ht="15" customHeight="1" thickBot="1" x14ac:dyDescent="0.25">
      <c r="A102" s="116">
        <v>101</v>
      </c>
      <c r="B102" s="169"/>
      <c r="C102" s="169"/>
      <c r="D102" s="169"/>
      <c r="E102" s="662"/>
      <c r="F102" s="662"/>
      <c r="G102" s="311" t="s">
        <v>694</v>
      </c>
      <c r="H102" s="447"/>
      <c r="I102" s="172"/>
      <c r="J102" s="3">
        <v>0</v>
      </c>
      <c r="K102" s="451"/>
      <c r="L102" s="34"/>
      <c r="M102" s="214"/>
    </row>
    <row r="103" spans="1:13" s="29" customFormat="1" ht="15" customHeight="1" thickBot="1" x14ac:dyDescent="0.25">
      <c r="A103" s="116">
        <v>102</v>
      </c>
      <c r="B103" s="169"/>
      <c r="C103" s="172"/>
      <c r="D103" s="172"/>
      <c r="E103" s="447"/>
      <c r="F103" s="168" t="s">
        <v>558</v>
      </c>
      <c r="G103" s="172"/>
      <c r="H103" s="172"/>
      <c r="I103" s="172"/>
      <c r="J103" s="451"/>
      <c r="K103" s="456">
        <f>SUM(J96:J100)+J102</f>
        <v>455.82216</v>
      </c>
      <c r="L103" s="34"/>
      <c r="M103" s="214" t="s">
        <v>597</v>
      </c>
    </row>
    <row r="104" spans="1:13" s="33" customFormat="1" ht="15" customHeight="1" thickBot="1" x14ac:dyDescent="0.25">
      <c r="A104" s="116">
        <v>103</v>
      </c>
      <c r="B104" s="437"/>
      <c r="C104" s="169"/>
      <c r="D104" s="171" t="s">
        <v>5</v>
      </c>
      <c r="E104" s="171"/>
      <c r="F104" s="224"/>
      <c r="G104" s="224" t="s">
        <v>425</v>
      </c>
      <c r="H104" s="224"/>
      <c r="I104" s="224"/>
      <c r="J104" s="3">
        <v>48.365169999999999</v>
      </c>
      <c r="K104" s="451"/>
      <c r="L104" s="34"/>
      <c r="M104" s="214"/>
    </row>
    <row r="105" spans="1:13" s="33" customFormat="1" ht="15" customHeight="1" thickBot="1" x14ac:dyDescent="0.25">
      <c r="A105" s="116">
        <v>104</v>
      </c>
      <c r="B105" s="437"/>
      <c r="C105" s="169"/>
      <c r="D105" s="169"/>
      <c r="E105" s="224"/>
      <c r="F105" s="168" t="s">
        <v>428</v>
      </c>
      <c r="G105" s="224"/>
      <c r="H105" s="224"/>
      <c r="I105" s="224"/>
      <c r="J105" s="451"/>
      <c r="K105" s="456">
        <f>K103-J104</f>
        <v>407.45699000000002</v>
      </c>
      <c r="L105" s="34"/>
      <c r="M105" s="214"/>
    </row>
    <row r="106" spans="1:13" s="20" customFormat="1" ht="15" customHeight="1" x14ac:dyDescent="0.2">
      <c r="A106" s="116">
        <v>105</v>
      </c>
      <c r="B106" s="169"/>
      <c r="C106" s="172"/>
      <c r="D106" s="172"/>
      <c r="E106" s="172"/>
      <c r="F106" s="172"/>
      <c r="G106" s="172"/>
      <c r="H106" s="172"/>
      <c r="I106" s="172"/>
      <c r="J106" s="172"/>
      <c r="K106" s="169"/>
      <c r="L106" s="34"/>
      <c r="M106" s="214"/>
    </row>
    <row r="107" spans="1:13" s="33" customFormat="1" ht="30" customHeight="1" x14ac:dyDescent="0.3">
      <c r="A107" s="116">
        <v>106</v>
      </c>
      <c r="B107" s="437"/>
      <c r="C107" s="164" t="s">
        <v>559</v>
      </c>
      <c r="D107" s="442"/>
      <c r="E107" s="169"/>
      <c r="F107" s="172"/>
      <c r="G107" s="172"/>
      <c r="H107" s="172"/>
      <c r="I107" s="172"/>
      <c r="J107" s="178"/>
      <c r="K107" s="178"/>
      <c r="L107" s="34"/>
      <c r="M107" s="215"/>
    </row>
    <row r="108" spans="1:13" s="20" customFormat="1" ht="15" customHeight="1" x14ac:dyDescent="0.25">
      <c r="A108" s="116">
        <v>107</v>
      </c>
      <c r="B108" s="169"/>
      <c r="C108" s="172"/>
      <c r="D108" s="172"/>
      <c r="E108" s="166" t="s">
        <v>66</v>
      </c>
      <c r="F108" s="191"/>
      <c r="G108" s="169"/>
      <c r="H108" s="447"/>
      <c r="I108" s="172"/>
      <c r="J108" s="169"/>
      <c r="K108" s="169"/>
      <c r="L108" s="34"/>
      <c r="M108" s="214"/>
    </row>
    <row r="109" spans="1:13" s="29" customFormat="1" ht="12.75" customHeight="1" x14ac:dyDescent="0.2">
      <c r="A109" s="116">
        <v>108</v>
      </c>
      <c r="B109" s="169"/>
      <c r="C109" s="447"/>
      <c r="D109" s="447"/>
      <c r="E109" s="172"/>
      <c r="F109" s="172"/>
      <c r="G109" s="186" t="s">
        <v>504</v>
      </c>
      <c r="H109" s="172"/>
      <c r="I109" s="172"/>
      <c r="J109" s="176" t="s">
        <v>127</v>
      </c>
      <c r="K109" s="176" t="s">
        <v>127</v>
      </c>
      <c r="L109" s="34"/>
      <c r="M109" s="215"/>
    </row>
    <row r="110" spans="1:13" s="29" customFormat="1" ht="15" customHeight="1" x14ac:dyDescent="0.2">
      <c r="A110" s="116">
        <v>109</v>
      </c>
      <c r="B110" s="169"/>
      <c r="C110" s="172"/>
      <c r="D110" s="172"/>
      <c r="E110" s="169"/>
      <c r="F110" s="169"/>
      <c r="G110" s="586" t="s">
        <v>953</v>
      </c>
      <c r="H110" s="169"/>
      <c r="I110" s="169"/>
      <c r="J110" s="581">
        <v>3.9514899999999997</v>
      </c>
      <c r="K110" s="459"/>
      <c r="L110" s="34"/>
      <c r="M110" s="215"/>
    </row>
    <row r="111" spans="1:13" s="29" customFormat="1" ht="15" customHeight="1" x14ac:dyDescent="0.2">
      <c r="A111" s="116">
        <v>110</v>
      </c>
      <c r="B111" s="169"/>
      <c r="C111" s="172"/>
      <c r="D111" s="172"/>
      <c r="E111" s="169"/>
      <c r="F111" s="169"/>
      <c r="G111" s="586" t="s">
        <v>954</v>
      </c>
      <c r="H111" s="169"/>
      <c r="I111" s="169"/>
      <c r="J111" s="581">
        <v>619.70395999999982</v>
      </c>
      <c r="K111" s="451"/>
      <c r="L111" s="34"/>
      <c r="M111" s="214"/>
    </row>
    <row r="112" spans="1:13" s="29" customFormat="1" ht="15" customHeight="1" x14ac:dyDescent="0.2">
      <c r="A112" s="116">
        <v>111</v>
      </c>
      <c r="B112" s="169"/>
      <c r="C112" s="172"/>
      <c r="D112" s="172"/>
      <c r="E112" s="169"/>
      <c r="F112" s="169"/>
      <c r="G112" s="586" t="s">
        <v>955</v>
      </c>
      <c r="H112" s="169"/>
      <c r="I112" s="169"/>
      <c r="J112" s="581">
        <v>115.74875</v>
      </c>
      <c r="K112" s="451"/>
      <c r="L112" s="34"/>
      <c r="M112" s="214"/>
    </row>
    <row r="113" spans="1:13" s="29" customFormat="1" ht="15" customHeight="1" x14ac:dyDescent="0.2">
      <c r="A113" s="116">
        <v>112</v>
      </c>
      <c r="B113" s="169"/>
      <c r="C113" s="179"/>
      <c r="D113" s="179"/>
      <c r="E113" s="169"/>
      <c r="F113" s="169"/>
      <c r="G113" s="461"/>
      <c r="H113" s="169"/>
      <c r="I113" s="169"/>
      <c r="J113" s="3"/>
      <c r="K113" s="459"/>
      <c r="L113" s="34"/>
      <c r="M113" s="215"/>
    </row>
    <row r="114" spans="1:13" s="29" customFormat="1" ht="15" customHeight="1" x14ac:dyDescent="0.2">
      <c r="A114" s="116">
        <v>113</v>
      </c>
      <c r="B114" s="169"/>
      <c r="C114" s="169"/>
      <c r="D114" s="169"/>
      <c r="E114" s="169"/>
      <c r="F114" s="169"/>
      <c r="G114" s="461"/>
      <c r="H114" s="169"/>
      <c r="I114" s="169"/>
      <c r="J114" s="3"/>
      <c r="K114" s="451"/>
      <c r="L114" s="34"/>
      <c r="M114" s="214"/>
    </row>
    <row r="115" spans="1:13" s="33" customFormat="1" ht="15" customHeight="1" x14ac:dyDescent="0.2">
      <c r="A115" s="116">
        <v>114</v>
      </c>
      <c r="B115" s="437"/>
      <c r="C115" s="169"/>
      <c r="D115" s="169"/>
      <c r="E115" s="447"/>
      <c r="F115" s="172"/>
      <c r="G115" s="149" t="s">
        <v>655</v>
      </c>
      <c r="H115" s="172"/>
      <c r="I115" s="172"/>
      <c r="J115" s="451"/>
      <c r="K115" s="451"/>
      <c r="L115" s="34"/>
      <c r="M115" s="214"/>
    </row>
    <row r="116" spans="1:13" s="21" customFormat="1" ht="15" customHeight="1" thickBot="1" x14ac:dyDescent="0.25">
      <c r="A116" s="116">
        <v>115</v>
      </c>
      <c r="B116" s="169"/>
      <c r="C116" s="169"/>
      <c r="D116" s="169"/>
      <c r="E116" s="662"/>
      <c r="F116" s="662"/>
      <c r="G116" s="311" t="s">
        <v>697</v>
      </c>
      <c r="H116" s="447"/>
      <c r="I116" s="172"/>
      <c r="J116" s="3"/>
      <c r="K116" s="451"/>
      <c r="L116" s="34"/>
      <c r="M116" s="214"/>
    </row>
    <row r="117" spans="1:13" s="29" customFormat="1" ht="15" customHeight="1" thickBot="1" x14ac:dyDescent="0.25">
      <c r="A117" s="116">
        <v>116</v>
      </c>
      <c r="B117" s="169"/>
      <c r="C117" s="172"/>
      <c r="D117" s="172"/>
      <c r="E117" s="447"/>
      <c r="F117" s="168" t="s">
        <v>66</v>
      </c>
      <c r="G117" s="172"/>
      <c r="H117" s="172"/>
      <c r="I117" s="172"/>
      <c r="J117" s="451"/>
      <c r="K117" s="456">
        <f>SUM(J110:J114)+J116</f>
        <v>739.40419999999983</v>
      </c>
      <c r="L117" s="34"/>
      <c r="M117" s="214"/>
    </row>
    <row r="118" spans="1:13" s="29" customFormat="1" ht="24" customHeight="1" x14ac:dyDescent="0.25">
      <c r="A118" s="116">
        <v>117</v>
      </c>
      <c r="B118" s="169"/>
      <c r="C118" s="172"/>
      <c r="D118" s="172"/>
      <c r="E118" s="166" t="s">
        <v>67</v>
      </c>
      <c r="F118" s="191"/>
      <c r="G118" s="169"/>
      <c r="H118" s="447"/>
      <c r="I118" s="172"/>
      <c r="J118" s="169"/>
      <c r="K118" s="169"/>
      <c r="L118" s="34"/>
      <c r="M118" s="214"/>
    </row>
    <row r="119" spans="1:13" s="29" customFormat="1" ht="12.75" customHeight="1" x14ac:dyDescent="0.2">
      <c r="A119" s="116">
        <v>118</v>
      </c>
      <c r="B119" s="169"/>
      <c r="C119" s="447"/>
      <c r="D119" s="447"/>
      <c r="E119" s="172"/>
      <c r="F119" s="172"/>
      <c r="G119" s="186" t="s">
        <v>504</v>
      </c>
      <c r="H119" s="172"/>
      <c r="I119" s="172"/>
      <c r="J119" s="176" t="s">
        <v>127</v>
      </c>
      <c r="K119" s="176" t="s">
        <v>127</v>
      </c>
      <c r="L119" s="34"/>
      <c r="M119" s="215"/>
    </row>
    <row r="120" spans="1:13" s="29" customFormat="1" ht="15" customHeight="1" x14ac:dyDescent="0.2">
      <c r="A120" s="116">
        <v>119</v>
      </c>
      <c r="B120" s="169"/>
      <c r="C120" s="172"/>
      <c r="D120" s="172"/>
      <c r="E120" s="169"/>
      <c r="F120" s="169"/>
      <c r="G120" s="586" t="s">
        <v>956</v>
      </c>
      <c r="H120" s="169"/>
      <c r="I120" s="169"/>
      <c r="J120" s="581">
        <v>11090.651460000001</v>
      </c>
      <c r="K120" s="459"/>
      <c r="L120" s="34"/>
      <c r="M120" s="215"/>
    </row>
    <row r="121" spans="1:13" s="29" customFormat="1" ht="15" customHeight="1" x14ac:dyDescent="0.2">
      <c r="A121" s="116">
        <v>120</v>
      </c>
      <c r="B121" s="169"/>
      <c r="C121" s="172"/>
      <c r="D121" s="172"/>
      <c r="E121" s="169"/>
      <c r="F121" s="169"/>
      <c r="G121" s="586" t="s">
        <v>957</v>
      </c>
      <c r="H121" s="169"/>
      <c r="I121" s="169"/>
      <c r="J121" s="581">
        <v>439.76196000000004</v>
      </c>
      <c r="K121" s="451"/>
      <c r="L121" s="34"/>
      <c r="M121" s="214"/>
    </row>
    <row r="122" spans="1:13" s="29" customFormat="1" ht="15" customHeight="1" x14ac:dyDescent="0.2">
      <c r="A122" s="116">
        <v>121</v>
      </c>
      <c r="B122" s="169"/>
      <c r="C122" s="172"/>
      <c r="D122" s="172"/>
      <c r="E122" s="169"/>
      <c r="F122" s="169"/>
      <c r="G122" s="461"/>
      <c r="H122" s="169"/>
      <c r="I122" s="169"/>
      <c r="J122" s="3"/>
      <c r="K122" s="451"/>
      <c r="L122" s="34"/>
      <c r="M122" s="214"/>
    </row>
    <row r="123" spans="1:13" s="29" customFormat="1" ht="15" customHeight="1" x14ac:dyDescent="0.2">
      <c r="A123" s="116">
        <v>122</v>
      </c>
      <c r="B123" s="169"/>
      <c r="C123" s="179"/>
      <c r="D123" s="179"/>
      <c r="E123" s="169"/>
      <c r="F123" s="169"/>
      <c r="G123" s="461"/>
      <c r="H123" s="169"/>
      <c r="I123" s="169"/>
      <c r="J123" s="3"/>
      <c r="K123" s="459"/>
      <c r="L123" s="34"/>
      <c r="M123" s="215"/>
    </row>
    <row r="124" spans="1:13" s="29" customFormat="1" ht="15" customHeight="1" x14ac:dyDescent="0.2">
      <c r="A124" s="116">
        <v>123</v>
      </c>
      <c r="B124" s="169"/>
      <c r="C124" s="169"/>
      <c r="D124" s="169"/>
      <c r="E124" s="169"/>
      <c r="F124" s="169"/>
      <c r="G124" s="461"/>
      <c r="H124" s="169"/>
      <c r="I124" s="169"/>
      <c r="J124" s="3"/>
      <c r="K124" s="451"/>
      <c r="L124" s="34"/>
      <c r="M124" s="214"/>
    </row>
    <row r="125" spans="1:13" s="33" customFormat="1" ht="15" customHeight="1" x14ac:dyDescent="0.2">
      <c r="A125" s="116">
        <v>124</v>
      </c>
      <c r="B125" s="437"/>
      <c r="C125" s="169"/>
      <c r="D125" s="169"/>
      <c r="E125" s="447"/>
      <c r="F125" s="172"/>
      <c r="G125" s="149" t="s">
        <v>655</v>
      </c>
      <c r="H125" s="172"/>
      <c r="I125" s="172"/>
      <c r="J125" s="451"/>
      <c r="K125" s="451"/>
      <c r="L125" s="34"/>
      <c r="M125" s="214"/>
    </row>
    <row r="126" spans="1:13" s="21" customFormat="1" ht="15" customHeight="1" thickBot="1" x14ac:dyDescent="0.25">
      <c r="A126" s="116">
        <v>125</v>
      </c>
      <c r="B126" s="169"/>
      <c r="C126" s="169"/>
      <c r="D126" s="169"/>
      <c r="E126" s="662"/>
      <c r="F126" s="662"/>
      <c r="G126" s="311" t="s">
        <v>696</v>
      </c>
      <c r="H126" s="447"/>
      <c r="I126" s="172"/>
      <c r="J126" s="3">
        <v>0</v>
      </c>
      <c r="K126" s="451"/>
      <c r="L126" s="34"/>
      <c r="M126" s="214"/>
    </row>
    <row r="127" spans="1:13" s="29" customFormat="1" ht="15" customHeight="1" thickBot="1" x14ac:dyDescent="0.25">
      <c r="A127" s="116">
        <v>126</v>
      </c>
      <c r="B127" s="169"/>
      <c r="C127" s="172"/>
      <c r="D127" s="172"/>
      <c r="E127" s="447"/>
      <c r="F127" s="168" t="s">
        <v>67</v>
      </c>
      <c r="G127" s="172"/>
      <c r="H127" s="172"/>
      <c r="I127" s="172"/>
      <c r="J127" s="451"/>
      <c r="K127" s="456">
        <f>SUM(J120:J124)+J126</f>
        <v>11530.413420000001</v>
      </c>
      <c r="L127" s="34"/>
      <c r="M127" s="214"/>
    </row>
    <row r="128" spans="1:13" s="22" customFormat="1" ht="15" customHeight="1" thickBot="1" x14ac:dyDescent="0.25">
      <c r="A128" s="116">
        <v>127</v>
      </c>
      <c r="B128" s="172"/>
      <c r="C128" s="172"/>
      <c r="D128" s="172"/>
      <c r="E128" s="224"/>
      <c r="F128" s="224"/>
      <c r="G128" s="172"/>
      <c r="H128" s="172"/>
      <c r="I128" s="172"/>
      <c r="J128" s="451"/>
      <c r="K128" s="451"/>
      <c r="L128" s="34"/>
      <c r="M128" s="214"/>
    </row>
    <row r="129" spans="1:13" s="20" customFormat="1" ht="15" customHeight="1" thickBot="1" x14ac:dyDescent="0.25">
      <c r="A129" s="116">
        <v>128</v>
      </c>
      <c r="B129" s="169"/>
      <c r="C129" s="172"/>
      <c r="D129" s="172"/>
      <c r="E129" s="192"/>
      <c r="F129" s="318" t="s">
        <v>748</v>
      </c>
      <c r="G129" s="318"/>
      <c r="H129" s="447"/>
      <c r="I129" s="172"/>
      <c r="J129" s="451"/>
      <c r="K129" s="456">
        <f>K117+K127</f>
        <v>12269.81762</v>
      </c>
      <c r="L129" s="34"/>
      <c r="M129" s="214" t="s">
        <v>598</v>
      </c>
    </row>
    <row r="130" spans="1:13" s="20" customFormat="1" ht="15.75" x14ac:dyDescent="0.25">
      <c r="A130" s="39"/>
      <c r="B130" s="40"/>
      <c r="C130" s="165"/>
      <c r="D130" s="165"/>
      <c r="E130" s="165"/>
      <c r="F130" s="157"/>
      <c r="G130" s="157"/>
      <c r="H130" s="157"/>
      <c r="I130" s="157"/>
      <c r="J130" s="157"/>
      <c r="K130" s="157"/>
      <c r="L130" s="47"/>
      <c r="M130" s="214"/>
    </row>
  </sheetData>
  <sheetProtection formatRows="0" insertRows="0"/>
  <customSheetViews>
    <customSheetView guid="{21F2E024-704F-4E93-AC63-213755ECFFE0}" scale="40" showPageBreaks="1" showGridLines="0" printArea="1" view="pageBreakPreview" topLeftCell="B1">
      <pane ySplit="7" topLeftCell="A29" activePane="bottomLeft" state="frozen"/>
      <selection pane="bottomLeft" activeCell="R46" sqref="R46:R47"/>
      <rowBreaks count="1" manualBreakCount="1">
        <brk id="70" max="19" man="1"/>
      </rowBreaks>
      <pageMargins left="0.70866141732283472" right="0.70866141732283472" top="0.74803149606299213" bottom="0.74803149606299213" header="0.31496062992125989" footer="0.31496062992125989"/>
      <pageSetup paperSize="9" scale="55"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11">
    <mergeCell ref="I2:K2"/>
    <mergeCell ref="I3:K3"/>
    <mergeCell ref="E78:F78"/>
    <mergeCell ref="E65:F65"/>
    <mergeCell ref="A5:K5"/>
    <mergeCell ref="E126:F126"/>
    <mergeCell ref="J43:J44"/>
    <mergeCell ref="E102:F102"/>
    <mergeCell ref="E116:F116"/>
    <mergeCell ref="K43:K44"/>
    <mergeCell ref="E90:F90"/>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K27:K29 J126 J110:J114 J102 J96:J100 J92 J90 J84:J88 J80 J78 J72:J76 J32:J37 J41 J120:J124 J67 J65 J59:J63 J46:K52 J104 J116 J54:K54">
      <formula1>OR(AND(ISNUMBER(J27),J27&gt;=0),AND(ISTEXT(J27),J27="N/A"))</formula1>
    </dataValidation>
    <dataValidation allowBlank="1" showInputMessage="1" showErrorMessage="1" prompt="Please enter text" sqref="G32:G37 G120:G124 G59:G63 G72:G76 G84:G88 G96:G100 G110:G114"/>
  </dataValidations>
  <pageMargins left="0.70866141732283472" right="0.70866141732283472" top="0.74803149606299213" bottom="0.74803149606299213" header="0.31496062992125984" footer="0.31496062992125984"/>
  <pageSetup paperSize="9" scale="60" fitToHeight="0" orientation="portrait" r:id="rId2"/>
  <headerFooter alignWithMargins="0">
    <oddHeader>&amp;CCommerce Commission Information Disclosure Template</oddHeader>
    <oddFooter>&amp;L&amp;F&amp;C&amp;P&amp;R&amp;A</oddFooter>
  </headerFooter>
  <rowBreaks count="1" manualBreakCount="1">
    <brk id="68"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3870"/>
    <pageSetUpPr fitToPage="1"/>
  </sheetPr>
  <dimension ref="A1:V24"/>
  <sheetViews>
    <sheetView showGridLines="0" zoomScaleNormal="100" zoomScaleSheetLayoutView="100" workbookViewId="0">
      <selection activeCell="F9" sqref="F9"/>
    </sheetView>
  </sheetViews>
  <sheetFormatPr defaultColWidth="9.140625" defaultRowHeight="12.75" x14ac:dyDescent="0.2"/>
  <cols>
    <col min="1" max="1" width="3.7109375" style="28" customWidth="1"/>
    <col min="2" max="2" width="3.140625" style="28" customWidth="1"/>
    <col min="3" max="3" width="6.140625" style="28" customWidth="1"/>
    <col min="4" max="5" width="2.28515625" style="28" customWidth="1"/>
    <col min="6" max="6" width="62.42578125" style="27" customWidth="1"/>
    <col min="7" max="15" width="2.5703125" style="27" customWidth="1"/>
    <col min="16" max="16" width="3.28515625" style="27" customWidth="1"/>
    <col min="17" max="19" width="16.140625" style="28" customWidth="1"/>
    <col min="20" max="20" width="2.7109375" style="28" customWidth="1"/>
    <col min="21" max="21" width="13.28515625" style="214" bestFit="1" customWidth="1"/>
    <col min="22" max="16384" width="9.140625" style="28"/>
  </cols>
  <sheetData>
    <row r="1" spans="1:22" s="23" customFormat="1" ht="15" customHeight="1" x14ac:dyDescent="0.2">
      <c r="A1" s="554"/>
      <c r="B1" s="546"/>
      <c r="C1" s="546"/>
      <c r="D1" s="546"/>
      <c r="E1" s="549"/>
      <c r="F1" s="549"/>
      <c r="G1" s="549"/>
      <c r="H1" s="549"/>
      <c r="I1" s="549"/>
      <c r="J1" s="549"/>
      <c r="K1" s="549"/>
      <c r="L1" s="549"/>
      <c r="M1" s="549"/>
      <c r="N1" s="549"/>
      <c r="O1" s="549"/>
      <c r="P1" s="549"/>
      <c r="Q1" s="549"/>
      <c r="R1" s="546"/>
      <c r="S1" s="546"/>
      <c r="T1" s="548"/>
      <c r="U1" s="214"/>
    </row>
    <row r="2" spans="1:22" s="23" customFormat="1" ht="18" customHeight="1" x14ac:dyDescent="0.3">
      <c r="A2" s="48"/>
      <c r="B2" s="49"/>
      <c r="C2" s="49"/>
      <c r="D2" s="49"/>
      <c r="E2" s="449"/>
      <c r="F2" s="449"/>
      <c r="G2" s="449"/>
      <c r="H2" s="449"/>
      <c r="I2" s="449"/>
      <c r="J2" s="449"/>
      <c r="K2" s="449"/>
      <c r="L2" s="449"/>
      <c r="M2" s="449"/>
      <c r="N2" s="449"/>
      <c r="O2" s="92"/>
      <c r="P2" s="452"/>
      <c r="Q2" s="94" t="s">
        <v>8</v>
      </c>
      <c r="R2" s="614" t="str">
        <f>IF(NOT(ISBLANK(CoverSheet!$C$8)),CoverSheet!$C$8,"")</f>
        <v>Alpine Energy Limited</v>
      </c>
      <c r="S2" s="616"/>
      <c r="T2" s="70"/>
      <c r="U2" s="214"/>
    </row>
    <row r="3" spans="1:22" s="23" customFormat="1" ht="18" customHeight="1" x14ac:dyDescent="0.25">
      <c r="A3" s="48"/>
      <c r="B3" s="49"/>
      <c r="C3" s="49"/>
      <c r="D3" s="49"/>
      <c r="E3" s="449"/>
      <c r="F3" s="449"/>
      <c r="G3" s="449"/>
      <c r="H3" s="449"/>
      <c r="I3" s="449"/>
      <c r="J3" s="449"/>
      <c r="K3" s="449"/>
      <c r="L3" s="449"/>
      <c r="M3" s="449"/>
      <c r="N3" s="449"/>
      <c r="O3" s="92"/>
      <c r="P3" s="452"/>
      <c r="Q3" s="94" t="s">
        <v>393</v>
      </c>
      <c r="R3" s="612">
        <f>IF(ISNUMBER(CoverSheet!$C$12),CoverSheet!$C$12,"")</f>
        <v>43190</v>
      </c>
      <c r="S3" s="612"/>
      <c r="T3" s="70"/>
      <c r="U3" s="214"/>
    </row>
    <row r="4" spans="1:22" s="23" customFormat="1" ht="20.25" customHeight="1" x14ac:dyDescent="0.35">
      <c r="A4" s="545" t="s">
        <v>540</v>
      </c>
      <c r="B4" s="60"/>
      <c r="C4" s="49"/>
      <c r="D4" s="49"/>
      <c r="E4" s="71"/>
      <c r="F4" s="71"/>
      <c r="G4" s="71"/>
      <c r="H4" s="71"/>
      <c r="I4" s="71"/>
      <c r="J4" s="71"/>
      <c r="K4" s="71"/>
      <c r="L4" s="71"/>
      <c r="M4" s="71"/>
      <c r="N4" s="71"/>
      <c r="O4" s="71"/>
      <c r="P4" s="452"/>
      <c r="Q4" s="71"/>
      <c r="R4" s="49"/>
      <c r="S4" s="49"/>
      <c r="T4" s="70"/>
      <c r="U4" s="214"/>
    </row>
    <row r="5" spans="1:22" s="184" customFormat="1" ht="66" customHeight="1" x14ac:dyDescent="0.2">
      <c r="A5" s="609" t="s">
        <v>764</v>
      </c>
      <c r="B5" s="613"/>
      <c r="C5" s="613"/>
      <c r="D5" s="613"/>
      <c r="E5" s="613"/>
      <c r="F5" s="613"/>
      <c r="G5" s="613"/>
      <c r="H5" s="613"/>
      <c r="I5" s="613"/>
      <c r="J5" s="613"/>
      <c r="K5" s="613"/>
      <c r="L5" s="613"/>
      <c r="M5" s="613"/>
      <c r="N5" s="613"/>
      <c r="O5" s="613"/>
      <c r="P5" s="613"/>
      <c r="Q5" s="613"/>
      <c r="R5" s="613"/>
      <c r="S5" s="613"/>
      <c r="T5" s="183"/>
      <c r="U5" s="213"/>
    </row>
    <row r="6" spans="1:22" s="23" customFormat="1" ht="15" customHeight="1" x14ac:dyDescent="0.2">
      <c r="A6" s="87" t="s">
        <v>623</v>
      </c>
      <c r="B6" s="452"/>
      <c r="C6" s="53"/>
      <c r="D6" s="49"/>
      <c r="E6" s="71"/>
      <c r="F6" s="71"/>
      <c r="G6" s="71"/>
      <c r="H6" s="71"/>
      <c r="I6" s="71"/>
      <c r="J6" s="71"/>
      <c r="K6" s="71"/>
      <c r="L6" s="71"/>
      <c r="M6" s="71"/>
      <c r="N6" s="71"/>
      <c r="O6" s="71"/>
      <c r="P6" s="71"/>
      <c r="Q6" s="71"/>
      <c r="R6" s="49"/>
      <c r="S6" s="49"/>
      <c r="T6" s="70"/>
      <c r="U6" s="214"/>
    </row>
    <row r="7" spans="1:22" ht="30" customHeight="1" x14ac:dyDescent="0.3">
      <c r="A7" s="116">
        <v>7</v>
      </c>
      <c r="B7" s="451"/>
      <c r="C7" s="142" t="s">
        <v>541</v>
      </c>
      <c r="D7" s="441"/>
      <c r="E7" s="441"/>
      <c r="F7" s="441"/>
      <c r="G7" s="441"/>
      <c r="H7" s="441"/>
      <c r="I7" s="441"/>
      <c r="J7" s="441"/>
      <c r="K7" s="441"/>
      <c r="L7" s="441"/>
      <c r="M7" s="441"/>
      <c r="N7" s="441"/>
      <c r="O7" s="441"/>
      <c r="P7" s="441"/>
      <c r="Q7" s="441"/>
      <c r="R7" s="445" t="s">
        <v>127</v>
      </c>
      <c r="S7" s="445" t="s">
        <v>127</v>
      </c>
      <c r="T7" s="34"/>
      <c r="U7" s="215"/>
    </row>
    <row r="8" spans="1:22" ht="15" customHeight="1" x14ac:dyDescent="0.2">
      <c r="A8" s="116">
        <v>8</v>
      </c>
      <c r="B8" s="451"/>
      <c r="C8" s="36"/>
      <c r="D8" s="441"/>
      <c r="E8" s="441"/>
      <c r="F8" s="441" t="s">
        <v>71</v>
      </c>
      <c r="G8" s="441"/>
      <c r="H8" s="441"/>
      <c r="I8" s="441"/>
      <c r="J8" s="441"/>
      <c r="K8" s="441"/>
      <c r="L8" s="441"/>
      <c r="M8" s="441"/>
      <c r="N8" s="441"/>
      <c r="O8" s="441"/>
      <c r="P8" s="441"/>
      <c r="Q8" s="441"/>
      <c r="R8" s="3">
        <v>1748</v>
      </c>
      <c r="S8" s="451"/>
      <c r="T8" s="34"/>
      <c r="U8" s="214" t="s">
        <v>620</v>
      </c>
      <c r="V8" s="269"/>
    </row>
    <row r="9" spans="1:22" ht="15" customHeight="1" x14ac:dyDescent="0.2">
      <c r="A9" s="116">
        <v>9</v>
      </c>
      <c r="B9" s="451"/>
      <c r="C9" s="36"/>
      <c r="D9" s="441"/>
      <c r="E9" s="441"/>
      <c r="F9" s="441" t="s">
        <v>70</v>
      </c>
      <c r="G9" s="441"/>
      <c r="H9" s="441"/>
      <c r="I9" s="441"/>
      <c r="J9" s="441"/>
      <c r="K9" s="441"/>
      <c r="L9" s="441"/>
      <c r="M9" s="441"/>
      <c r="N9" s="441"/>
      <c r="O9" s="441"/>
      <c r="P9" s="441"/>
      <c r="Q9" s="441"/>
      <c r="R9" s="3">
        <v>431</v>
      </c>
      <c r="S9" s="451"/>
      <c r="T9" s="34"/>
      <c r="U9" s="214" t="s">
        <v>620</v>
      </c>
    </row>
    <row r="10" spans="1:22" ht="15" customHeight="1" x14ac:dyDescent="0.2">
      <c r="A10" s="116">
        <v>10</v>
      </c>
      <c r="B10" s="451"/>
      <c r="C10" s="36"/>
      <c r="D10" s="441"/>
      <c r="E10" s="441"/>
      <c r="F10" s="441" t="s">
        <v>118</v>
      </c>
      <c r="G10" s="441"/>
      <c r="H10" s="441"/>
      <c r="I10" s="441"/>
      <c r="J10" s="441"/>
      <c r="K10" s="441"/>
      <c r="L10" s="441"/>
      <c r="M10" s="441"/>
      <c r="N10" s="441"/>
      <c r="O10" s="441"/>
      <c r="P10" s="441"/>
      <c r="Q10" s="441"/>
      <c r="R10" s="3">
        <v>2520</v>
      </c>
      <c r="S10" s="451"/>
      <c r="T10" s="34"/>
      <c r="U10" s="214" t="s">
        <v>620</v>
      </c>
    </row>
    <row r="11" spans="1:22" ht="15" customHeight="1" x14ac:dyDescent="0.2">
      <c r="A11" s="116">
        <v>11</v>
      </c>
      <c r="B11" s="451"/>
      <c r="C11" s="36"/>
      <c r="D11" s="441"/>
      <c r="E11" s="441"/>
      <c r="F11" s="441" t="s">
        <v>114</v>
      </c>
      <c r="G11" s="441"/>
      <c r="H11" s="441"/>
      <c r="I11" s="441"/>
      <c r="J11" s="441"/>
      <c r="K11" s="441"/>
      <c r="L11" s="441"/>
      <c r="M11" s="441"/>
      <c r="N11" s="441"/>
      <c r="O11" s="441"/>
      <c r="P11" s="441"/>
      <c r="Q11" s="441"/>
      <c r="R11" s="3">
        <v>701</v>
      </c>
      <c r="S11" s="451"/>
      <c r="T11" s="34"/>
      <c r="U11" s="214" t="s">
        <v>620</v>
      </c>
    </row>
    <row r="12" spans="1:22" s="127" customFormat="1" ht="15" customHeight="1" x14ac:dyDescent="0.2">
      <c r="A12" s="116">
        <v>12</v>
      </c>
      <c r="B12" s="451"/>
      <c r="C12" s="36"/>
      <c r="D12" s="441"/>
      <c r="E12" s="441"/>
      <c r="F12" s="98" t="s">
        <v>454</v>
      </c>
      <c r="G12" s="441"/>
      <c r="H12" s="441"/>
      <c r="I12" s="441"/>
      <c r="J12" s="441"/>
      <c r="K12" s="441"/>
      <c r="L12" s="441"/>
      <c r="M12" s="441"/>
      <c r="N12" s="441"/>
      <c r="O12" s="441"/>
      <c r="P12" s="441"/>
      <c r="Q12" s="441"/>
      <c r="R12" s="451"/>
      <c r="S12" s="1">
        <f>SUM(R8:R11)</f>
        <v>5400</v>
      </c>
      <c r="T12" s="34"/>
      <c r="U12" s="214"/>
    </row>
    <row r="13" spans="1:22" ht="15" customHeight="1" x14ac:dyDescent="0.2">
      <c r="A13" s="116">
        <v>13</v>
      </c>
      <c r="B13" s="451"/>
      <c r="C13" s="36"/>
      <c r="D13" s="441"/>
      <c r="E13" s="441"/>
      <c r="F13" s="441" t="s">
        <v>276</v>
      </c>
      <c r="G13" s="441"/>
      <c r="H13" s="441"/>
      <c r="I13" s="441"/>
      <c r="J13" s="441"/>
      <c r="K13" s="441"/>
      <c r="L13" s="441"/>
      <c r="M13" s="441"/>
      <c r="N13" s="441"/>
      <c r="O13" s="441"/>
      <c r="P13" s="441"/>
      <c r="Q13" s="441"/>
      <c r="R13" s="3">
        <v>4476.1096800000023</v>
      </c>
      <c r="S13" s="459"/>
      <c r="T13" s="34"/>
      <c r="U13" s="214" t="s">
        <v>620</v>
      </c>
    </row>
    <row r="14" spans="1:22" s="29" customFormat="1" ht="15" customHeight="1" x14ac:dyDescent="0.2">
      <c r="A14" s="116">
        <v>14</v>
      </c>
      <c r="B14" s="451"/>
      <c r="C14" s="36"/>
      <c r="D14" s="441"/>
      <c r="E14" s="441"/>
      <c r="F14" s="441" t="s">
        <v>68</v>
      </c>
      <c r="G14" s="441"/>
      <c r="H14" s="441"/>
      <c r="I14" s="441"/>
      <c r="J14" s="441"/>
      <c r="K14" s="441"/>
      <c r="L14" s="441"/>
      <c r="M14" s="441"/>
      <c r="N14" s="441"/>
      <c r="O14" s="441"/>
      <c r="P14" s="441"/>
      <c r="Q14" s="441"/>
      <c r="R14" s="3">
        <v>7295.1132999999991</v>
      </c>
      <c r="S14" s="459"/>
      <c r="T14" s="34"/>
      <c r="U14" s="214" t="s">
        <v>620</v>
      </c>
    </row>
    <row r="15" spans="1:22" s="127" customFormat="1" ht="15" customHeight="1" x14ac:dyDescent="0.2">
      <c r="A15" s="116">
        <v>15</v>
      </c>
      <c r="B15" s="451"/>
      <c r="C15" s="36"/>
      <c r="D15" s="441"/>
      <c r="E15" s="441"/>
      <c r="F15" s="98" t="s">
        <v>455</v>
      </c>
      <c r="G15" s="441"/>
      <c r="H15" s="441"/>
      <c r="I15" s="441"/>
      <c r="J15" s="441"/>
      <c r="K15" s="441"/>
      <c r="L15" s="441"/>
      <c r="M15" s="441"/>
      <c r="N15" s="441"/>
      <c r="O15" s="441"/>
      <c r="P15" s="441"/>
      <c r="Q15" s="441"/>
      <c r="R15" s="451"/>
      <c r="S15" s="1">
        <f>SUM(R13:R14)</f>
        <v>11771.222980000002</v>
      </c>
      <c r="T15" s="34"/>
      <c r="U15" s="214"/>
    </row>
    <row r="16" spans="1:22" s="131" customFormat="1" ht="15" customHeight="1" thickBot="1" x14ac:dyDescent="0.25">
      <c r="A16" s="116">
        <v>16</v>
      </c>
      <c r="B16" s="451"/>
      <c r="C16" s="36"/>
      <c r="D16" s="441"/>
      <c r="E16" s="441"/>
      <c r="F16" s="441"/>
      <c r="G16" s="441"/>
      <c r="H16" s="441"/>
      <c r="I16" s="441"/>
      <c r="J16" s="441"/>
      <c r="K16" s="441"/>
      <c r="L16" s="441"/>
      <c r="M16" s="441"/>
      <c r="N16" s="441"/>
      <c r="O16" s="441"/>
      <c r="P16" s="441"/>
      <c r="Q16" s="441"/>
      <c r="R16" s="451"/>
      <c r="S16" s="451"/>
      <c r="T16" s="34"/>
      <c r="U16" s="214"/>
    </row>
    <row r="17" spans="1:21" s="21" customFormat="1" ht="15" customHeight="1" thickBot="1" x14ac:dyDescent="0.25">
      <c r="A17" s="116">
        <v>17</v>
      </c>
      <c r="B17" s="451"/>
      <c r="C17" s="451"/>
      <c r="D17" s="143"/>
      <c r="E17" s="117" t="s">
        <v>117</v>
      </c>
      <c r="F17" s="143"/>
      <c r="G17" s="441"/>
      <c r="H17" s="441"/>
      <c r="I17" s="441"/>
      <c r="J17" s="441"/>
      <c r="K17" s="441"/>
      <c r="L17" s="441"/>
      <c r="M17" s="441"/>
      <c r="N17" s="441"/>
      <c r="O17" s="441"/>
      <c r="P17" s="441"/>
      <c r="Q17" s="441"/>
      <c r="R17" s="451"/>
      <c r="S17" s="457">
        <f>S12+S15</f>
        <v>17171.222980000002</v>
      </c>
      <c r="T17" s="34"/>
      <c r="U17" s="214" t="s">
        <v>848</v>
      </c>
    </row>
    <row r="18" spans="1:21" s="29" customFormat="1" ht="30" customHeight="1" x14ac:dyDescent="0.3">
      <c r="A18" s="116">
        <v>18</v>
      </c>
      <c r="B18" s="451"/>
      <c r="C18" s="142" t="s">
        <v>542</v>
      </c>
      <c r="D18" s="441"/>
      <c r="E18" s="441"/>
      <c r="F18" s="441"/>
      <c r="G18" s="441"/>
      <c r="H18" s="441"/>
      <c r="I18" s="441"/>
      <c r="J18" s="441"/>
      <c r="K18" s="441"/>
      <c r="L18" s="441"/>
      <c r="M18" s="441"/>
      <c r="N18" s="441"/>
      <c r="O18" s="441"/>
      <c r="P18" s="441"/>
      <c r="Q18" s="441"/>
      <c r="R18" s="56"/>
      <c r="S18" s="56"/>
      <c r="T18" s="34"/>
      <c r="U18" s="215"/>
    </row>
    <row r="19" spans="1:21" s="21" customFormat="1" ht="15" customHeight="1" x14ac:dyDescent="0.2">
      <c r="A19" s="116">
        <v>19</v>
      </c>
      <c r="B19" s="451"/>
      <c r="C19" s="441"/>
      <c r="D19" s="144"/>
      <c r="E19" s="144"/>
      <c r="F19" s="144" t="s">
        <v>509</v>
      </c>
      <c r="G19" s="441"/>
      <c r="H19" s="441"/>
      <c r="I19" s="441"/>
      <c r="J19" s="441"/>
      <c r="K19" s="441"/>
      <c r="L19" s="441"/>
      <c r="M19" s="441"/>
      <c r="N19" s="441"/>
      <c r="O19" s="441"/>
      <c r="P19" s="441"/>
      <c r="Q19" s="441"/>
      <c r="R19" s="441"/>
      <c r="S19" s="3">
        <v>1</v>
      </c>
      <c r="T19" s="34"/>
      <c r="U19" s="214" t="s">
        <v>620</v>
      </c>
    </row>
    <row r="20" spans="1:21" s="21" customFormat="1" ht="15" customHeight="1" x14ac:dyDescent="0.2">
      <c r="A20" s="116">
        <v>20</v>
      </c>
      <c r="B20" s="451"/>
      <c r="C20" s="441"/>
      <c r="D20" s="144"/>
      <c r="E20" s="144"/>
      <c r="F20" s="144" t="s">
        <v>429</v>
      </c>
      <c r="G20" s="441"/>
      <c r="H20" s="441"/>
      <c r="I20" s="441"/>
      <c r="J20" s="441"/>
      <c r="K20" s="441"/>
      <c r="L20" s="441"/>
      <c r="M20" s="441"/>
      <c r="N20" s="441"/>
      <c r="O20" s="441"/>
      <c r="P20" s="441"/>
      <c r="Q20" s="441"/>
      <c r="R20" s="441"/>
      <c r="S20" s="3" t="s">
        <v>958</v>
      </c>
      <c r="T20" s="34"/>
      <c r="U20" s="214" t="s">
        <v>620</v>
      </c>
    </row>
    <row r="21" spans="1:21" s="21" customFormat="1" ht="15" customHeight="1" x14ac:dyDescent="0.2">
      <c r="A21" s="116">
        <v>21</v>
      </c>
      <c r="B21" s="451"/>
      <c r="C21" s="441"/>
      <c r="D21" s="144"/>
      <c r="E21" s="144"/>
      <c r="F21" s="144" t="s">
        <v>283</v>
      </c>
      <c r="G21" s="441"/>
      <c r="H21" s="441"/>
      <c r="I21" s="441"/>
      <c r="J21" s="441"/>
      <c r="K21" s="441"/>
      <c r="L21" s="441"/>
      <c r="M21" s="441"/>
      <c r="N21" s="441"/>
      <c r="O21" s="441"/>
      <c r="P21" s="441"/>
      <c r="Q21" s="441"/>
      <c r="R21" s="441"/>
      <c r="S21" s="3">
        <v>0</v>
      </c>
      <c r="T21" s="34"/>
      <c r="U21" s="214" t="s">
        <v>620</v>
      </c>
    </row>
    <row r="22" spans="1:21" s="21" customFormat="1" ht="15" customHeight="1" x14ac:dyDescent="0.2">
      <c r="A22" s="116">
        <v>22</v>
      </c>
      <c r="B22" s="451"/>
      <c r="C22" s="451"/>
      <c r="D22" s="144"/>
      <c r="E22" s="144"/>
      <c r="F22" s="144" t="s">
        <v>341</v>
      </c>
      <c r="G22" s="441"/>
      <c r="H22" s="441"/>
      <c r="I22" s="441"/>
      <c r="J22" s="441"/>
      <c r="K22" s="441"/>
      <c r="L22" s="441"/>
      <c r="M22" s="441"/>
      <c r="N22" s="441"/>
      <c r="O22" s="441"/>
      <c r="P22" s="441"/>
      <c r="Q22" s="441"/>
      <c r="R22" s="441"/>
      <c r="S22" s="582">
        <f>'[4]P&amp;L by Month + Total'!$Q$39/1000</f>
        <v>223.63327000000001</v>
      </c>
      <c r="T22" s="34"/>
      <c r="U22" s="214" t="s">
        <v>620</v>
      </c>
    </row>
    <row r="23" spans="1:21" s="21" customFormat="1" ht="15" customHeight="1" x14ac:dyDescent="0.2">
      <c r="A23" s="116">
        <v>23</v>
      </c>
      <c r="B23" s="444"/>
      <c r="C23" s="444" t="s">
        <v>470</v>
      </c>
      <c r="D23" s="144"/>
      <c r="E23" s="144"/>
      <c r="F23" s="144"/>
      <c r="G23" s="441"/>
      <c r="H23" s="441"/>
      <c r="I23" s="441"/>
      <c r="J23" s="441"/>
      <c r="K23" s="441"/>
      <c r="L23" s="441"/>
      <c r="M23" s="441"/>
      <c r="N23" s="441"/>
      <c r="O23" s="441"/>
      <c r="P23" s="441"/>
      <c r="Q23" s="441"/>
      <c r="R23" s="441"/>
      <c r="S23" s="441"/>
      <c r="T23" s="34"/>
      <c r="U23" s="220"/>
    </row>
    <row r="24" spans="1:21" x14ac:dyDescent="0.2">
      <c r="A24" s="39"/>
      <c r="B24" s="40"/>
      <c r="C24" s="40"/>
      <c r="D24" s="40"/>
      <c r="E24" s="41"/>
      <c r="F24" s="41"/>
      <c r="G24" s="41"/>
      <c r="H24" s="41"/>
      <c r="I24" s="41"/>
      <c r="J24" s="41"/>
      <c r="K24" s="41"/>
      <c r="L24" s="41"/>
      <c r="M24" s="41"/>
      <c r="N24" s="41"/>
      <c r="O24" s="41"/>
      <c r="P24" s="41"/>
      <c r="Q24" s="41"/>
      <c r="R24" s="41"/>
      <c r="S24" s="41"/>
      <c r="T24" s="47"/>
    </row>
  </sheetData>
  <sheetProtection formatRows="0" insertRows="0"/>
  <customSheetViews>
    <customSheetView guid="{21F2E024-704F-4E93-AC63-213755ECFFE0}" scale="70" showPageBreaks="1" showGridLines="0" view="pageBreakPreview">
      <pane ySplit="7" topLeftCell="A8" activePane="bottomLeft" state="frozen"/>
      <selection pane="bottomLeft" activeCell="L27" sqref="L27"/>
      <pageMargins left="0.70866141732283472" right="0.70866141732283472" top="0.74803149606299213" bottom="0.74803149606299213" header="0.31496062992125984" footer="0.31496062992125984"/>
      <pageSetup paperSize="9" scale="90" fitToHeight="10" orientation="landscape" r:id="rId1"/>
      <headerFooter alignWithMargins="0">
        <oddHeader>&amp;C&amp;"Arial"&amp;10 Commerce Commission Information Disclosure Template</oddHeader>
        <oddFooter>&amp;L&amp;"Arial"&amp;10 &amp;F&amp;C&amp;"Arial"&amp;10 &amp;A&amp;R&amp;"Arial"&amp;10 &amp;P</oddFooter>
      </headerFooter>
    </customSheetView>
  </customSheetViews>
  <mergeCells count="3">
    <mergeCell ref="A5:S5"/>
    <mergeCell ref="R2:S2"/>
    <mergeCell ref="R3:S3"/>
  </mergeCells>
  <dataValidations count="3">
    <dataValidation type="decimal" operator="greaterThanOrEqual" allowBlank="1" showInputMessage="1" showErrorMessage="1" error="Decimal values larger than or equal to 0 are accepted" prompt="Please enter a number larger than or equal to 0." sqref="R13">
      <formula1>0</formula1>
    </dataValidation>
    <dataValidation type="decimal" operator="greaterThanOrEqual" allowBlank="1" showInputMessage="1" showErrorMessage="1" error="Decimal values larger than or equal to 0 are accepted" prompt="Please enter a number larger than or equal to 0" sqref="R10:R11 R14">
      <formula1>0</formula1>
    </dataValidation>
    <dataValidation type="custom" allowBlank="1" showInputMessage="1" showErrorMessage="1" error="Decimal values larger than or equal to 0 and text &quot;N/A&quot; are accepted" prompt="Please enter a number larger than or equal to 0. _x000a_Enter &quot;N/A&quot; if this does not apply" sqref="R8:R9 S19:S22">
      <formula1>OR(AND(ISNUMBER(R8),R8&gt;=0),AND(ISTEXT(R8),R8="N/A"))</formula1>
    </dataValidation>
  </dataValidations>
  <pageMargins left="0.70866141732283472" right="0.70866141732283472" top="0.74803149606299213" bottom="0.74803149606299213" header="0.31496062992125984" footer="0.31496062992125984"/>
  <pageSetup paperSize="9" scale="93" fitToHeight="0" orientation="landscape" r:id="rId2"/>
  <headerFooter alignWithMargins="0">
    <oddHeader>&amp;CCommerce Commission Information Disclosure Template</oddHeader>
    <oddFooter>&amp;L&amp;F&amp;C&amp;P&amp;R&amp;A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3870"/>
    <pageSetUpPr fitToPage="1"/>
  </sheetPr>
  <dimension ref="A1:P45"/>
  <sheetViews>
    <sheetView showGridLines="0" zoomScaleNormal="100" zoomScaleSheetLayoutView="100" workbookViewId="0">
      <selection activeCell="F8" sqref="F8"/>
    </sheetView>
  </sheetViews>
  <sheetFormatPr defaultColWidth="9.140625" defaultRowHeight="14.25" customHeight="1" x14ac:dyDescent="0.2"/>
  <cols>
    <col min="1" max="3" width="3.7109375" style="20" customWidth="1"/>
    <col min="4" max="4" width="2.42578125" style="29" customWidth="1"/>
    <col min="5" max="5" width="4.28515625" style="29" customWidth="1"/>
    <col min="6" max="6" width="49.7109375" style="29" customWidth="1"/>
    <col min="7" max="7" width="3.85546875" style="20" customWidth="1"/>
    <col min="8" max="10" width="15.7109375" style="20" customWidth="1"/>
    <col min="11" max="11" width="2.7109375" style="20" customWidth="1"/>
    <col min="12" max="12" width="11.85546875" style="214" customWidth="1"/>
    <col min="13" max="16384" width="9.140625" style="6"/>
  </cols>
  <sheetData>
    <row r="1" spans="1:16" s="104" customFormat="1" ht="14.25" customHeight="1" x14ac:dyDescent="0.2">
      <c r="A1" s="554"/>
      <c r="B1" s="546"/>
      <c r="C1" s="546"/>
      <c r="D1" s="546"/>
      <c r="E1" s="546"/>
      <c r="F1" s="546"/>
      <c r="G1" s="546"/>
      <c r="H1" s="546"/>
      <c r="I1" s="546"/>
      <c r="J1" s="546"/>
      <c r="K1" s="547"/>
      <c r="L1" s="214"/>
    </row>
    <row r="2" spans="1:16" s="104" customFormat="1" ht="18" customHeight="1" x14ac:dyDescent="0.3">
      <c r="A2" s="48"/>
      <c r="B2" s="49"/>
      <c r="C2" s="49"/>
      <c r="D2" s="49"/>
      <c r="E2" s="49"/>
      <c r="F2" s="49"/>
      <c r="G2" s="94" t="s">
        <v>8</v>
      </c>
      <c r="H2" s="611" t="str">
        <f>IF(NOT(ISBLANK(CoverSheet!$C$8)),CoverSheet!$C$8,"")</f>
        <v>Alpine Energy Limited</v>
      </c>
      <c r="I2" s="611"/>
      <c r="J2" s="611"/>
      <c r="K2" s="52"/>
      <c r="L2" s="214"/>
    </row>
    <row r="3" spans="1:16" s="104" customFormat="1" ht="18" customHeight="1" x14ac:dyDescent="0.25">
      <c r="A3" s="48"/>
      <c r="B3" s="49"/>
      <c r="C3" s="49"/>
      <c r="D3" s="49"/>
      <c r="E3" s="49"/>
      <c r="F3" s="49"/>
      <c r="G3" s="94" t="s">
        <v>393</v>
      </c>
      <c r="H3" s="619">
        <f>IF(ISNUMBER(CoverSheet!$C$12),CoverSheet!$C$12,"")</f>
        <v>43190</v>
      </c>
      <c r="I3" s="620"/>
      <c r="J3" s="621"/>
      <c r="K3" s="52"/>
      <c r="L3" s="214"/>
    </row>
    <row r="4" spans="1:16" s="104" customFormat="1" ht="30" customHeight="1" x14ac:dyDescent="0.35">
      <c r="A4" s="545" t="s">
        <v>513</v>
      </c>
      <c r="B4" s="49"/>
      <c r="C4" s="49"/>
      <c r="D4" s="49"/>
      <c r="E4" s="49"/>
      <c r="F4" s="49"/>
      <c r="G4" s="452"/>
      <c r="H4" s="49"/>
      <c r="I4" s="49"/>
      <c r="J4" s="49"/>
      <c r="K4" s="52"/>
      <c r="L4" s="214"/>
    </row>
    <row r="5" spans="1:16" ht="78" customHeight="1" x14ac:dyDescent="0.2">
      <c r="A5" s="637" t="s">
        <v>568</v>
      </c>
      <c r="B5" s="665"/>
      <c r="C5" s="665"/>
      <c r="D5" s="665"/>
      <c r="E5" s="665"/>
      <c r="F5" s="665"/>
      <c r="G5" s="665"/>
      <c r="H5" s="665"/>
      <c r="I5" s="665"/>
      <c r="J5" s="665"/>
      <c r="K5" s="95"/>
    </row>
    <row r="6" spans="1:16" s="104" customFormat="1" ht="25.5" customHeight="1" x14ac:dyDescent="0.2">
      <c r="A6" s="87" t="s">
        <v>623</v>
      </c>
      <c r="B6" s="452"/>
      <c r="C6" s="53"/>
      <c r="D6" s="49"/>
      <c r="E6" s="49"/>
      <c r="F6" s="49"/>
      <c r="G6" s="49"/>
      <c r="H6" s="49"/>
      <c r="I6" s="49"/>
      <c r="J6" s="49"/>
      <c r="K6" s="52"/>
      <c r="L6" s="214"/>
    </row>
    <row r="7" spans="1:16" ht="46.5" customHeight="1" x14ac:dyDescent="0.3">
      <c r="A7" s="116">
        <v>7</v>
      </c>
      <c r="B7" s="36"/>
      <c r="C7" s="142" t="s">
        <v>514</v>
      </c>
      <c r="D7" s="145"/>
      <c r="E7" s="45"/>
      <c r="F7" s="45"/>
      <c r="G7" s="441"/>
      <c r="H7" s="379" t="s">
        <v>485</v>
      </c>
      <c r="I7" s="379" t="s">
        <v>467</v>
      </c>
      <c r="J7" s="379" t="s">
        <v>244</v>
      </c>
      <c r="K7" s="37"/>
    </row>
    <row r="8" spans="1:16" ht="15" customHeight="1" x14ac:dyDescent="0.3">
      <c r="A8" s="116">
        <v>8</v>
      </c>
      <c r="B8" s="36"/>
      <c r="C8" s="142"/>
      <c r="D8" s="45"/>
      <c r="E8" s="144" t="s">
        <v>468</v>
      </c>
      <c r="F8" s="122"/>
      <c r="G8" s="441"/>
      <c r="H8" s="581">
        <v>63260</v>
      </c>
      <c r="I8" s="334">
        <f>'S8.Billed Quantities+Revenues'!G68</f>
        <v>60480.764859999996</v>
      </c>
      <c r="J8" s="462">
        <f>IF(H8=0,0,(I8-H8)/H8)</f>
        <v>-4.3933530509010499E-2</v>
      </c>
      <c r="K8" s="37"/>
      <c r="L8" s="214" t="s">
        <v>581</v>
      </c>
      <c r="M8" s="114"/>
      <c r="N8" s="587"/>
      <c r="P8" s="587"/>
    </row>
    <row r="9" spans="1:16" ht="41.25" customHeight="1" x14ac:dyDescent="0.3">
      <c r="A9" s="116">
        <v>9</v>
      </c>
      <c r="B9" s="451"/>
      <c r="C9" s="142" t="s">
        <v>560</v>
      </c>
      <c r="D9" s="145"/>
      <c r="E9" s="46"/>
      <c r="F9" s="46"/>
      <c r="G9" s="141"/>
      <c r="H9" s="436" t="s">
        <v>469</v>
      </c>
      <c r="I9" s="379" t="s">
        <v>467</v>
      </c>
      <c r="J9" s="379" t="s">
        <v>244</v>
      </c>
      <c r="K9" s="37"/>
    </row>
    <row r="10" spans="1:16" ht="15" customHeight="1" x14ac:dyDescent="0.2">
      <c r="A10" s="116">
        <v>10</v>
      </c>
      <c r="B10" s="451"/>
      <c r="C10" s="441"/>
      <c r="D10" s="117"/>
      <c r="E10" s="144" t="s">
        <v>420</v>
      </c>
      <c r="F10" s="144"/>
      <c r="G10" s="441"/>
      <c r="H10" s="581">
        <v>2200</v>
      </c>
      <c r="I10" s="334">
        <f>'S6a.Actual Expenditure Capex'!K8</f>
        <v>3797.5132499999991</v>
      </c>
      <c r="J10" s="462">
        <f>IF(H10=0,0,(I10-H10)/H10)</f>
        <v>0.72614238636363593</v>
      </c>
      <c r="K10" s="34"/>
      <c r="L10" s="214" t="s">
        <v>588</v>
      </c>
      <c r="M10" s="114"/>
      <c r="N10" s="587"/>
      <c r="P10" s="607"/>
    </row>
    <row r="11" spans="1:16" ht="15" customHeight="1" x14ac:dyDescent="0.2">
      <c r="A11" s="116">
        <v>11</v>
      </c>
      <c r="B11" s="451"/>
      <c r="C11" s="441"/>
      <c r="D11" s="117"/>
      <c r="E11" s="144" t="s">
        <v>113</v>
      </c>
      <c r="F11" s="144"/>
      <c r="G11" s="441"/>
      <c r="H11" s="581">
        <v>6571</v>
      </c>
      <c r="I11" s="334">
        <f>'S6a.Actual Expenditure Capex'!K9</f>
        <v>6859.4861199999978</v>
      </c>
      <c r="J11" s="462">
        <f>IF(H11=0,0,(I11-H11)/H11)</f>
        <v>4.3902924973367487E-2</v>
      </c>
      <c r="K11" s="34"/>
      <c r="L11" s="214" t="s">
        <v>588</v>
      </c>
      <c r="P11" s="604"/>
    </row>
    <row r="12" spans="1:16" ht="15" customHeight="1" x14ac:dyDescent="0.2">
      <c r="A12" s="116">
        <v>12</v>
      </c>
      <c r="B12" s="451"/>
      <c r="C12" s="441"/>
      <c r="D12" s="117"/>
      <c r="E12" s="144" t="s">
        <v>114</v>
      </c>
      <c r="F12" s="144"/>
      <c r="G12" s="441"/>
      <c r="H12" s="581">
        <v>5857</v>
      </c>
      <c r="I12" s="334">
        <f>'S6a.Actual Expenditure Capex'!K10</f>
        <v>5811.01127</v>
      </c>
      <c r="J12" s="462">
        <f>IF(H12=0,0,(I12-H12)/H12)</f>
        <v>-7.8519259006317281E-3</v>
      </c>
      <c r="K12" s="34"/>
      <c r="L12" s="214" t="s">
        <v>588</v>
      </c>
      <c r="P12" s="607"/>
    </row>
    <row r="13" spans="1:16" ht="15" customHeight="1" x14ac:dyDescent="0.2">
      <c r="A13" s="116">
        <v>13</v>
      </c>
      <c r="B13" s="451"/>
      <c r="C13" s="441"/>
      <c r="D13" s="117"/>
      <c r="E13" s="144" t="s">
        <v>115</v>
      </c>
      <c r="F13" s="144"/>
      <c r="G13" s="441"/>
      <c r="H13" s="581">
        <v>2000</v>
      </c>
      <c r="I13" s="334">
        <f>'S6a.Actual Expenditure Capex'!K11</f>
        <v>2027.4116000000001</v>
      </c>
      <c r="J13" s="462">
        <f>IF(H13=0,0,(I13-H13)/H13)</f>
        <v>1.3705800000000068E-2</v>
      </c>
      <c r="K13" s="34"/>
      <c r="L13" s="214" t="s">
        <v>588</v>
      </c>
    </row>
    <row r="14" spans="1:16" ht="15" customHeight="1" x14ac:dyDescent="0.2">
      <c r="A14" s="116">
        <v>14</v>
      </c>
      <c r="B14" s="451"/>
      <c r="C14" s="441"/>
      <c r="D14" s="117"/>
      <c r="E14" s="144" t="s">
        <v>282</v>
      </c>
      <c r="F14" s="144"/>
      <c r="G14" s="441"/>
      <c r="H14" s="172"/>
      <c r="I14" s="441"/>
      <c r="J14" s="441"/>
      <c r="K14" s="34"/>
    </row>
    <row r="15" spans="1:16" ht="15" customHeight="1" x14ac:dyDescent="0.2">
      <c r="A15" s="116">
        <v>15</v>
      </c>
      <c r="B15" s="451"/>
      <c r="C15" s="441"/>
      <c r="D15" s="117"/>
      <c r="E15" s="144"/>
      <c r="F15" s="144" t="s">
        <v>64</v>
      </c>
      <c r="G15" s="441"/>
      <c r="H15" s="581">
        <v>890</v>
      </c>
      <c r="I15" s="334">
        <f>'S6a.Actual Expenditure Capex'!J13</f>
        <v>342.08878000000004</v>
      </c>
      <c r="J15" s="462">
        <f t="shared" ref="J15:J21" si="0">IF(H15=0,0,(I15-H15)/H15)</f>
        <v>-0.61563058426966288</v>
      </c>
      <c r="K15" s="34"/>
      <c r="L15" s="214" t="s">
        <v>588</v>
      </c>
    </row>
    <row r="16" spans="1:16" ht="15" customHeight="1" x14ac:dyDescent="0.2">
      <c r="A16" s="116">
        <v>16</v>
      </c>
      <c r="B16" s="451"/>
      <c r="C16" s="441"/>
      <c r="D16" s="117"/>
      <c r="E16" s="144"/>
      <c r="F16" s="144" t="s">
        <v>116</v>
      </c>
      <c r="G16" s="441"/>
      <c r="H16" s="581">
        <v>0</v>
      </c>
      <c r="I16" s="334">
        <f>'S6a.Actual Expenditure Capex'!J14</f>
        <v>0</v>
      </c>
      <c r="J16" s="462">
        <f t="shared" si="0"/>
        <v>0</v>
      </c>
      <c r="K16" s="34"/>
      <c r="L16" s="214" t="s">
        <v>588</v>
      </c>
    </row>
    <row r="17" spans="1:16" ht="15" customHeight="1" thickBot="1" x14ac:dyDescent="0.25">
      <c r="A17" s="116">
        <v>17</v>
      </c>
      <c r="B17" s="451"/>
      <c r="C17" s="441"/>
      <c r="D17" s="117"/>
      <c r="E17" s="144"/>
      <c r="F17" s="144" t="s">
        <v>333</v>
      </c>
      <c r="G17" s="441"/>
      <c r="H17" s="581">
        <v>688</v>
      </c>
      <c r="I17" s="334">
        <f>'S6a.Actual Expenditure Capex'!J15</f>
        <v>455.82216</v>
      </c>
      <c r="J17" s="462">
        <f t="shared" si="0"/>
        <v>-0.33746779069767441</v>
      </c>
      <c r="K17" s="34"/>
      <c r="L17" s="214" t="s">
        <v>588</v>
      </c>
    </row>
    <row r="18" spans="1:16" ht="15" customHeight="1" thickBot="1" x14ac:dyDescent="0.25">
      <c r="A18" s="116">
        <v>18</v>
      </c>
      <c r="B18" s="451"/>
      <c r="C18" s="441"/>
      <c r="D18" s="120"/>
      <c r="E18" s="120" t="s">
        <v>281</v>
      </c>
      <c r="F18" s="144"/>
      <c r="G18" s="441"/>
      <c r="H18" s="427">
        <f>SUM(H15:H17)</f>
        <v>1578</v>
      </c>
      <c r="I18" s="466">
        <f>SUM(I15:I17)</f>
        <v>797.91093999999998</v>
      </c>
      <c r="J18" s="467">
        <f t="shared" si="0"/>
        <v>-0.49435301647655261</v>
      </c>
      <c r="K18" s="34"/>
    </row>
    <row r="19" spans="1:16" s="114" customFormat="1" ht="15" customHeight="1" thickBot="1" x14ac:dyDescent="0.25">
      <c r="A19" s="116">
        <v>19</v>
      </c>
      <c r="B19" s="451"/>
      <c r="C19" s="441"/>
      <c r="D19" s="120" t="s">
        <v>567</v>
      </c>
      <c r="E19" s="120"/>
      <c r="F19" s="144"/>
      <c r="G19" s="441"/>
      <c r="H19" s="427">
        <f>H10+H11+H12+H13+H18</f>
        <v>18206</v>
      </c>
      <c r="I19" s="466">
        <f>I10+I11+I12+I13+I18</f>
        <v>19293.333179999998</v>
      </c>
      <c r="J19" s="467">
        <f t="shared" si="0"/>
        <v>5.9723892123475654E-2</v>
      </c>
      <c r="K19" s="34"/>
      <c r="L19" s="214"/>
    </row>
    <row r="20" spans="1:16" ht="15" customHeight="1" thickBot="1" x14ac:dyDescent="0.25">
      <c r="A20" s="116">
        <v>20</v>
      </c>
      <c r="B20" s="451"/>
      <c r="C20" s="441"/>
      <c r="D20" s="117"/>
      <c r="E20" s="451" t="s">
        <v>748</v>
      </c>
      <c r="F20" s="290"/>
      <c r="G20" s="441"/>
      <c r="H20" s="581">
        <v>12614</v>
      </c>
      <c r="I20" s="334">
        <f>'S6a.Actual Expenditure Capex'!K18</f>
        <v>12269.81762</v>
      </c>
      <c r="J20" s="462">
        <f t="shared" si="0"/>
        <v>-2.7285744410971952E-2</v>
      </c>
      <c r="K20" s="34"/>
      <c r="L20" s="214" t="s">
        <v>588</v>
      </c>
    </row>
    <row r="21" spans="1:16" s="114" customFormat="1" ht="15" customHeight="1" thickBot="1" x14ac:dyDescent="0.25">
      <c r="A21" s="116">
        <v>21</v>
      </c>
      <c r="B21" s="451"/>
      <c r="C21" s="441"/>
      <c r="D21" s="451" t="s">
        <v>549</v>
      </c>
      <c r="E21" s="36"/>
      <c r="F21" s="36"/>
      <c r="G21" s="441"/>
      <c r="H21" s="427">
        <f>H19+H20</f>
        <v>30820</v>
      </c>
      <c r="I21" s="466">
        <f>I19+I20</f>
        <v>31563.150799999996</v>
      </c>
      <c r="J21" s="467">
        <f t="shared" si="0"/>
        <v>2.4112615184944706E-2</v>
      </c>
      <c r="K21" s="34"/>
      <c r="L21" s="214"/>
    </row>
    <row r="22" spans="1:16" ht="29.25" customHeight="1" x14ac:dyDescent="0.3">
      <c r="A22" s="116">
        <v>22</v>
      </c>
      <c r="B22" s="451"/>
      <c r="C22" s="142" t="s">
        <v>515</v>
      </c>
      <c r="D22" s="145"/>
      <c r="E22" s="46"/>
      <c r="F22" s="46"/>
      <c r="G22" s="441"/>
      <c r="H22" s="172"/>
      <c r="I22" s="441"/>
      <c r="J22" s="441"/>
      <c r="K22" s="34"/>
    </row>
    <row r="23" spans="1:16" ht="15" customHeight="1" x14ac:dyDescent="0.2">
      <c r="A23" s="116">
        <v>23</v>
      </c>
      <c r="B23" s="451"/>
      <c r="C23" s="441"/>
      <c r="D23" s="117"/>
      <c r="E23" s="144" t="s">
        <v>71</v>
      </c>
      <c r="F23" s="144"/>
      <c r="G23" s="441"/>
      <c r="H23" s="581">
        <v>1344</v>
      </c>
      <c r="I23" s="334">
        <f>'S6b.Actual Expenditure Opex'!R8</f>
        <v>1748</v>
      </c>
      <c r="J23" s="462">
        <f t="shared" ref="J23:J31" si="1">IF(H23=0,0,(I23-H23)/H23)</f>
        <v>0.30059523809523808</v>
      </c>
      <c r="K23" s="34"/>
      <c r="L23" s="214" t="s">
        <v>582</v>
      </c>
      <c r="M23" s="114"/>
      <c r="N23" s="587"/>
      <c r="P23" s="607"/>
    </row>
    <row r="24" spans="1:16" ht="15" customHeight="1" x14ac:dyDescent="0.2">
      <c r="A24" s="116">
        <v>24</v>
      </c>
      <c r="B24" s="451"/>
      <c r="C24" s="441"/>
      <c r="D24" s="117"/>
      <c r="E24" s="144" t="s">
        <v>70</v>
      </c>
      <c r="F24" s="144"/>
      <c r="G24" s="441"/>
      <c r="H24" s="581">
        <v>611</v>
      </c>
      <c r="I24" s="334">
        <f>'S6b.Actual Expenditure Opex'!R9</f>
        <v>431</v>
      </c>
      <c r="J24" s="462">
        <f t="shared" si="1"/>
        <v>-0.29459901800327332</v>
      </c>
      <c r="K24" s="34"/>
      <c r="L24" s="214" t="s">
        <v>582</v>
      </c>
    </row>
    <row r="25" spans="1:16" ht="15" customHeight="1" x14ac:dyDescent="0.2">
      <c r="A25" s="116">
        <v>25</v>
      </c>
      <c r="B25" s="451"/>
      <c r="C25" s="441"/>
      <c r="D25" s="117"/>
      <c r="E25" s="144" t="s">
        <v>118</v>
      </c>
      <c r="F25" s="144"/>
      <c r="G25" s="441"/>
      <c r="H25" s="581">
        <v>3000</v>
      </c>
      <c r="I25" s="334">
        <f>'S6b.Actual Expenditure Opex'!R10</f>
        <v>2520</v>
      </c>
      <c r="J25" s="462">
        <f t="shared" si="1"/>
        <v>-0.16</v>
      </c>
      <c r="K25" s="34"/>
      <c r="L25" s="214" t="s">
        <v>582</v>
      </c>
    </row>
    <row r="26" spans="1:16" ht="15" customHeight="1" thickBot="1" x14ac:dyDescent="0.25">
      <c r="A26" s="116">
        <v>26</v>
      </c>
      <c r="B26" s="451"/>
      <c r="C26" s="441"/>
      <c r="D26" s="117"/>
      <c r="E26" s="144" t="s">
        <v>114</v>
      </c>
      <c r="F26" s="144"/>
      <c r="G26" s="441"/>
      <c r="H26" s="581">
        <v>289</v>
      </c>
      <c r="I26" s="334">
        <f>'S6b.Actual Expenditure Opex'!R11</f>
        <v>701</v>
      </c>
      <c r="J26" s="462">
        <f t="shared" si="1"/>
        <v>1.42560553633218</v>
      </c>
      <c r="K26" s="34"/>
      <c r="L26" s="214" t="s">
        <v>582</v>
      </c>
    </row>
    <row r="27" spans="1:16" ht="15" customHeight="1" thickBot="1" x14ac:dyDescent="0.25">
      <c r="A27" s="116">
        <v>27</v>
      </c>
      <c r="B27" s="451"/>
      <c r="C27" s="441"/>
      <c r="D27" s="117" t="s">
        <v>454</v>
      </c>
      <c r="E27" s="117"/>
      <c r="F27" s="451"/>
      <c r="G27" s="441"/>
      <c r="H27" s="427">
        <f>SUM(H23:H26)</f>
        <v>5244</v>
      </c>
      <c r="I27" s="466">
        <f>SUM(I23:I26)</f>
        <v>5400</v>
      </c>
      <c r="J27" s="467">
        <f t="shared" si="1"/>
        <v>2.9748283752860413E-2</v>
      </c>
      <c r="K27" s="34"/>
    </row>
    <row r="28" spans="1:16" s="114" customFormat="1" ht="15" customHeight="1" x14ac:dyDescent="0.2">
      <c r="A28" s="116">
        <v>28</v>
      </c>
      <c r="B28" s="451"/>
      <c r="C28" s="441"/>
      <c r="D28" s="117"/>
      <c r="E28" s="144" t="s">
        <v>276</v>
      </c>
      <c r="F28" s="144"/>
      <c r="G28" s="441"/>
      <c r="H28" s="581">
        <v>0</v>
      </c>
      <c r="I28" s="334">
        <f>'S6b.Actual Expenditure Opex'!R13</f>
        <v>4476.1096800000023</v>
      </c>
      <c r="J28" s="462">
        <f t="shared" si="1"/>
        <v>0</v>
      </c>
      <c r="K28" s="34"/>
      <c r="L28" s="214" t="s">
        <v>582</v>
      </c>
    </row>
    <row r="29" spans="1:16" ht="15" customHeight="1" thickBot="1" x14ac:dyDescent="0.25">
      <c r="A29" s="116">
        <v>29</v>
      </c>
      <c r="B29" s="451"/>
      <c r="C29" s="441"/>
      <c r="D29" s="117"/>
      <c r="E29" s="451" t="s">
        <v>68</v>
      </c>
      <c r="F29" s="36"/>
      <c r="G29" s="441"/>
      <c r="H29" s="581">
        <f>11577-1108</f>
        <v>10469</v>
      </c>
      <c r="I29" s="334">
        <f>'S6b.Actual Expenditure Opex'!R14</f>
        <v>7295.1132999999991</v>
      </c>
      <c r="J29" s="462">
        <f t="shared" si="1"/>
        <v>-0.30316999713439691</v>
      </c>
      <c r="K29" s="34"/>
      <c r="L29" s="214" t="s">
        <v>582</v>
      </c>
    </row>
    <row r="30" spans="1:16" ht="15" customHeight="1" thickBot="1" x14ac:dyDescent="0.25">
      <c r="A30" s="116">
        <v>30</v>
      </c>
      <c r="B30" s="451"/>
      <c r="C30" s="441"/>
      <c r="D30" s="117" t="s">
        <v>455</v>
      </c>
      <c r="E30" s="117"/>
      <c r="F30" s="451"/>
      <c r="G30" s="441"/>
      <c r="H30" s="427">
        <f>SUM(H28:H29)</f>
        <v>10469</v>
      </c>
      <c r="I30" s="466">
        <f>SUM(I28:I29)</f>
        <v>11771.222980000002</v>
      </c>
      <c r="J30" s="467">
        <f t="shared" si="1"/>
        <v>0.12438847836469599</v>
      </c>
      <c r="K30" s="34"/>
    </row>
    <row r="31" spans="1:16" s="114" customFormat="1" ht="15" customHeight="1" thickBot="1" x14ac:dyDescent="0.25">
      <c r="A31" s="116">
        <v>31</v>
      </c>
      <c r="B31" s="451"/>
      <c r="C31" s="441"/>
      <c r="D31" s="117" t="s">
        <v>117</v>
      </c>
      <c r="E31" s="117"/>
      <c r="F31" s="451"/>
      <c r="G31" s="441"/>
      <c r="H31" s="427">
        <f>H27+H30</f>
        <v>15713</v>
      </c>
      <c r="I31" s="466">
        <f>I27+I30</f>
        <v>17171.222980000002</v>
      </c>
      <c r="J31" s="467">
        <f t="shared" si="1"/>
        <v>9.2803600840068876E-2</v>
      </c>
      <c r="K31" s="34"/>
      <c r="L31" s="214"/>
    </row>
    <row r="32" spans="1:16" ht="30" customHeight="1" x14ac:dyDescent="0.3">
      <c r="A32" s="116">
        <v>32</v>
      </c>
      <c r="B32" s="36"/>
      <c r="C32" s="142" t="s">
        <v>561</v>
      </c>
      <c r="D32" s="145"/>
      <c r="E32" s="46"/>
      <c r="F32" s="46"/>
      <c r="G32" s="441"/>
      <c r="H32" s="172"/>
      <c r="I32" s="441"/>
      <c r="J32" s="441"/>
      <c r="K32" s="37"/>
    </row>
    <row r="33" spans="1:13" ht="15" customHeight="1" x14ac:dyDescent="0.2">
      <c r="A33" s="116">
        <v>33</v>
      </c>
      <c r="B33" s="36"/>
      <c r="C33" s="139"/>
      <c r="D33" s="117"/>
      <c r="E33" s="144" t="s">
        <v>509</v>
      </c>
      <c r="F33" s="144"/>
      <c r="G33" s="441"/>
      <c r="H33" s="581">
        <v>0</v>
      </c>
      <c r="I33" s="334">
        <f>'S6a.Actual Expenditure Capex'!K27</f>
        <v>0</v>
      </c>
      <c r="J33" s="462">
        <f>IF(H33="N/A",0,IF(H33=0,0,(I33-H33)/H33))</f>
        <v>0</v>
      </c>
      <c r="K33" s="37"/>
      <c r="L33" s="214" t="s">
        <v>588</v>
      </c>
    </row>
    <row r="34" spans="1:13" ht="15" customHeight="1" x14ac:dyDescent="0.2">
      <c r="A34" s="116">
        <v>34</v>
      </c>
      <c r="B34" s="36"/>
      <c r="C34" s="139"/>
      <c r="D34" s="117"/>
      <c r="E34" s="144" t="s">
        <v>319</v>
      </c>
      <c r="F34" s="144"/>
      <c r="G34" s="441"/>
      <c r="H34" s="581">
        <v>2000</v>
      </c>
      <c r="I34" s="334">
        <f>'S6a.Actual Expenditure Capex'!K28</f>
        <v>2021.8927799999999</v>
      </c>
      <c r="J34" s="462">
        <f>IF(H34="N/A",0,IF(H34=0,0,(I34-H34)/H34))</f>
        <v>1.0946389999999952E-2</v>
      </c>
      <c r="K34" s="37"/>
      <c r="L34" s="214" t="s">
        <v>588</v>
      </c>
      <c r="M34" s="114"/>
    </row>
    <row r="35" spans="1:13" ht="15" customHeight="1" x14ac:dyDescent="0.2">
      <c r="A35" s="116">
        <v>35</v>
      </c>
      <c r="B35" s="36"/>
      <c r="C35" s="36"/>
      <c r="D35" s="117"/>
      <c r="E35" s="144" t="s">
        <v>275</v>
      </c>
      <c r="F35" s="144"/>
      <c r="G35" s="441"/>
      <c r="H35" s="581">
        <v>0</v>
      </c>
      <c r="I35" s="334">
        <f>'S6a.Actual Expenditure Capex'!K29</f>
        <v>0</v>
      </c>
      <c r="J35" s="462">
        <f>IF(H35="N/A",0,IF(H35=0,0,(I35-H35)/H35))</f>
        <v>0</v>
      </c>
      <c r="K35" s="37"/>
      <c r="L35" s="214" t="s">
        <v>588</v>
      </c>
    </row>
    <row r="36" spans="1:13" ht="15" customHeight="1" x14ac:dyDescent="0.2">
      <c r="A36" s="116">
        <v>36</v>
      </c>
      <c r="B36" s="36"/>
      <c r="C36" s="36"/>
      <c r="D36" s="117"/>
      <c r="E36" s="36"/>
      <c r="F36" s="36"/>
      <c r="G36" s="441"/>
      <c r="H36" s="172"/>
      <c r="I36" s="441"/>
      <c r="J36" s="441"/>
      <c r="K36" s="37"/>
    </row>
    <row r="37" spans="1:13" ht="30" customHeight="1" x14ac:dyDescent="0.3">
      <c r="A37" s="116">
        <v>37</v>
      </c>
      <c r="B37" s="36"/>
      <c r="C37" s="142" t="s">
        <v>562</v>
      </c>
      <c r="D37" s="145"/>
      <c r="E37" s="46"/>
      <c r="F37" s="46"/>
      <c r="G37" s="441"/>
      <c r="H37" s="172"/>
      <c r="I37" s="441"/>
      <c r="J37" s="441"/>
      <c r="K37" s="37"/>
    </row>
    <row r="38" spans="1:13" ht="15" customHeight="1" x14ac:dyDescent="0.2">
      <c r="A38" s="116">
        <v>38</v>
      </c>
      <c r="B38" s="36"/>
      <c r="C38" s="139"/>
      <c r="D38" s="117"/>
      <c r="E38" s="144" t="s">
        <v>509</v>
      </c>
      <c r="F38" s="144"/>
      <c r="G38" s="441"/>
      <c r="H38" s="581">
        <v>0</v>
      </c>
      <c r="I38" s="334">
        <f>'S6b.Actual Expenditure Opex'!S19</f>
        <v>1</v>
      </c>
      <c r="J38" s="462">
        <f>IF(H38="N/A",0,IF(H38=0,0,(I38-H38)/H38))</f>
        <v>0</v>
      </c>
      <c r="K38" s="37"/>
      <c r="L38" s="214" t="s">
        <v>582</v>
      </c>
    </row>
    <row r="39" spans="1:13" ht="15" customHeight="1" x14ac:dyDescent="0.2">
      <c r="A39" s="116">
        <v>39</v>
      </c>
      <c r="B39" s="36"/>
      <c r="C39" s="139"/>
      <c r="D39" s="117"/>
      <c r="E39" s="144" t="s">
        <v>69</v>
      </c>
      <c r="F39" s="144"/>
      <c r="G39" s="441"/>
      <c r="H39" s="581">
        <v>0</v>
      </c>
      <c r="I39" s="334" t="str">
        <f>'S6b.Actual Expenditure Opex'!S20</f>
        <v>N/A</v>
      </c>
      <c r="J39" s="462">
        <f>IF(H39="N/A",0,IF(H39=0,0,(I39-H39)/H39))</f>
        <v>0</v>
      </c>
      <c r="K39" s="37"/>
      <c r="L39" s="214" t="s">
        <v>582</v>
      </c>
    </row>
    <row r="40" spans="1:13" ht="15" customHeight="1" x14ac:dyDescent="0.2">
      <c r="A40" s="116">
        <v>40</v>
      </c>
      <c r="B40" s="36"/>
      <c r="C40" s="36"/>
      <c r="D40" s="117"/>
      <c r="E40" s="144" t="s">
        <v>283</v>
      </c>
      <c r="F40" s="144"/>
      <c r="G40" s="441"/>
      <c r="H40" s="581">
        <v>0</v>
      </c>
      <c r="I40" s="334">
        <f>'S6b.Actual Expenditure Opex'!S21</f>
        <v>0</v>
      </c>
      <c r="J40" s="462">
        <f>IF(H40="N/A",0,IF(H40=0,0,(I40-H40)/H40))</f>
        <v>0</v>
      </c>
      <c r="K40" s="37"/>
      <c r="L40" s="214" t="s">
        <v>582</v>
      </c>
    </row>
    <row r="41" spans="1:13" ht="15" customHeight="1" x14ac:dyDescent="0.2">
      <c r="A41" s="116">
        <v>41</v>
      </c>
      <c r="B41" s="36"/>
      <c r="C41" s="36"/>
      <c r="D41" s="117"/>
      <c r="E41" s="144" t="s">
        <v>341</v>
      </c>
      <c r="F41" s="144"/>
      <c r="G41" s="441"/>
      <c r="H41" s="581">
        <v>42</v>
      </c>
      <c r="I41" s="334">
        <f>'S6b.Actual Expenditure Opex'!S22</f>
        <v>223.63327000000001</v>
      </c>
      <c r="J41" s="462">
        <f>IF(H41="N/A",0,IF(H41=0,0,(I41-H41)/H41))</f>
        <v>4.3246016666666671</v>
      </c>
      <c r="K41" s="37"/>
      <c r="L41" s="214" t="s">
        <v>582</v>
      </c>
      <c r="M41" s="114"/>
    </row>
    <row r="42" spans="1:13" ht="15" customHeight="1" x14ac:dyDescent="0.2">
      <c r="A42" s="116">
        <v>42</v>
      </c>
      <c r="B42" s="36"/>
      <c r="C42" s="36"/>
      <c r="D42" s="117"/>
      <c r="E42" s="36"/>
      <c r="F42" s="36"/>
      <c r="G42" s="441"/>
      <c r="H42" s="451"/>
      <c r="I42" s="451"/>
      <c r="J42" s="143"/>
      <c r="K42" s="37"/>
    </row>
    <row r="43" spans="1:13" ht="15" customHeight="1" x14ac:dyDescent="0.2">
      <c r="A43" s="116">
        <v>43</v>
      </c>
      <c r="B43" s="149"/>
      <c r="C43" s="319" t="s">
        <v>754</v>
      </c>
      <c r="D43" s="312"/>
      <c r="E43" s="312"/>
      <c r="F43" s="312"/>
      <c r="G43" s="312"/>
      <c r="H43" s="312"/>
      <c r="I43" s="312"/>
      <c r="J43" s="143"/>
      <c r="K43" s="37"/>
    </row>
    <row r="44" spans="1:13" ht="30" customHeight="1" x14ac:dyDescent="0.2">
      <c r="A44" s="116">
        <v>44</v>
      </c>
      <c r="B44" s="149"/>
      <c r="C44" s="666" t="s">
        <v>851</v>
      </c>
      <c r="D44" s="666"/>
      <c r="E44" s="666"/>
      <c r="F44" s="666"/>
      <c r="G44" s="666"/>
      <c r="H44" s="666"/>
      <c r="I44" s="666"/>
      <c r="J44" s="666"/>
      <c r="K44" s="37"/>
    </row>
    <row r="45" spans="1:13" ht="15" customHeight="1" x14ac:dyDescent="0.2">
      <c r="A45" s="39"/>
      <c r="B45" s="85"/>
      <c r="C45" s="109"/>
      <c r="D45" s="109"/>
      <c r="E45" s="109"/>
      <c r="F45" s="109"/>
      <c r="G45" s="109"/>
      <c r="H45" s="109"/>
      <c r="I45" s="109"/>
      <c r="J45" s="109"/>
      <c r="K45" s="44"/>
    </row>
  </sheetData>
  <sheetProtection formatRows="0" insertRows="0"/>
  <customSheetViews>
    <customSheetView guid="{21F2E024-704F-4E93-AC63-213755ECFFE0}" scale="70" showPageBreaks="1" showGridLines="0" fitToPage="1" printArea="1" view="pageBreakPreview">
      <pane ySplit="6" topLeftCell="A10" activePane="bottomLeft" state="frozen"/>
      <selection pane="bottomLeft" activeCell="J18" sqref="J18"/>
      <pageMargins left="0.70866141732283472" right="0.70866141732283472" top="0.74803149606299213" bottom="0.74803149606299213" header="0.31496062992125989" footer="0.31496062992125989"/>
      <pageSetup paperSize="9" scale="65"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4">
    <mergeCell ref="A5:J5"/>
    <mergeCell ref="H2:J2"/>
    <mergeCell ref="H3:J3"/>
    <mergeCell ref="C44:J44"/>
  </mergeCells>
  <dataValidations count="2">
    <dataValidation type="decimal" operator="greaterThanOrEqual" allowBlank="1" showInputMessage="1" showErrorMessage="1" error="Decimal values larger than or equal to 0 are accepted" prompt="Please enter a number larger than or equal to 0" sqref="H8 H10:H13 H23:H26 H20 H15">
      <formula1>0</formula1>
    </dataValidation>
    <dataValidation type="custom" allowBlank="1" showInputMessage="1" showErrorMessage="1" error="Decimal values larger than or equal to 0 and text &quot;N/A&quot; are accepted" prompt="Please enter a number larger than or equal to 0. _x000a_Enter &quot;N/A&quot; if this does not apply" sqref="H33:H35 H16:H17 H38:H41 H28:H29">
      <formula1>OR(AND(ISNUMBER(H16),H16&gt;=0),AND(ISTEXT(H16),H16="N/A"))</formula1>
    </dataValidation>
  </dataValidations>
  <pageMargins left="0.70866141732283472" right="0.70866141732283472" top="0.74803149606299213" bottom="0.74803149606299213" header="0.31496062992125984" footer="0.31496062992125984"/>
  <pageSetup paperSize="9" scale="80" fitToHeight="0" orientation="portrait" r:id="rId2"/>
  <headerFooter alignWithMargins="0">
    <oddHeader>&amp;CCommerce Commission Information Disclosure Template</oddHeader>
    <oddFooter>&amp;L&amp;F&amp;C&amp;P&amp;R&amp;A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339966"/>
    <pageSetUpPr fitToPage="1"/>
  </sheetPr>
  <dimension ref="A1:Z72"/>
  <sheetViews>
    <sheetView showGridLines="0" zoomScaleNormal="100" zoomScaleSheetLayoutView="100" workbookViewId="0">
      <selection sqref="A1:XFD1048576"/>
    </sheetView>
  </sheetViews>
  <sheetFormatPr defaultColWidth="9.140625" defaultRowHeight="12.75" x14ac:dyDescent="0.2"/>
  <cols>
    <col min="1" max="1" width="3.7109375" style="26" customWidth="1"/>
    <col min="2" max="2" width="6.28515625" style="111" customWidth="1"/>
    <col min="3" max="3" width="9.140625" style="26" customWidth="1"/>
    <col min="4" max="6" width="27.7109375" style="26" customWidth="1"/>
    <col min="7" max="7" width="23.42578125" style="26" customWidth="1"/>
    <col min="8" max="8" width="21.5703125" style="26" customWidth="1"/>
    <col min="9" max="12" width="2.85546875" style="26" customWidth="1"/>
    <col min="13" max="14" width="16.7109375" style="26" customWidth="1"/>
    <col min="15" max="15" width="22.28515625" style="26" customWidth="1"/>
    <col min="16" max="24" width="16.140625" style="26" customWidth="1"/>
    <col min="25" max="25" width="2.7109375" style="26" customWidth="1"/>
    <col min="26" max="26" width="16" style="222" bestFit="1" customWidth="1"/>
    <col min="27" max="16384" width="9.140625" style="26"/>
  </cols>
  <sheetData>
    <row r="1" spans="1:26" s="24" customFormat="1" ht="15" customHeight="1" x14ac:dyDescent="0.2">
      <c r="A1" s="555"/>
      <c r="B1" s="551"/>
      <c r="C1" s="551"/>
      <c r="D1" s="551"/>
      <c r="E1" s="551"/>
      <c r="F1" s="551"/>
      <c r="G1" s="551"/>
      <c r="H1" s="551"/>
      <c r="I1" s="551"/>
      <c r="J1" s="551"/>
      <c r="K1" s="551"/>
      <c r="L1" s="551"/>
      <c r="M1" s="551"/>
      <c r="N1" s="551"/>
      <c r="O1" s="551"/>
      <c r="P1" s="551"/>
      <c r="Q1" s="551"/>
      <c r="R1" s="551"/>
      <c r="S1" s="551"/>
      <c r="T1" s="551"/>
      <c r="U1" s="551"/>
      <c r="V1" s="551"/>
      <c r="W1" s="551"/>
      <c r="X1" s="551"/>
      <c r="Y1" s="550"/>
      <c r="Z1" s="214"/>
    </row>
    <row r="2" spans="1:26" s="24" customFormat="1" ht="18" customHeight="1" x14ac:dyDescent="0.3">
      <c r="A2" s="76"/>
      <c r="B2" s="449"/>
      <c r="C2" s="80"/>
      <c r="D2" s="449"/>
      <c r="E2" s="449"/>
      <c r="F2" s="449"/>
      <c r="G2" s="449"/>
      <c r="H2" s="449"/>
      <c r="I2" s="449"/>
      <c r="J2" s="449"/>
      <c r="K2" s="449"/>
      <c r="L2" s="449"/>
      <c r="M2" s="449"/>
      <c r="N2" s="449"/>
      <c r="O2" s="449"/>
      <c r="P2" s="449"/>
      <c r="Q2" s="449"/>
      <c r="R2" s="92"/>
      <c r="S2" s="94" t="s">
        <v>8</v>
      </c>
      <c r="T2" s="614" t="str">
        <f>IF(NOT(ISBLANK(CoverSheet!$C$8)),CoverSheet!$C$8,"")</f>
        <v>Alpine Energy Limited</v>
      </c>
      <c r="U2" s="667"/>
      <c r="V2" s="667"/>
      <c r="W2" s="615"/>
      <c r="X2" s="616"/>
      <c r="Y2" s="50"/>
      <c r="Z2" s="214"/>
    </row>
    <row r="3" spans="1:26" s="24" customFormat="1" ht="18" customHeight="1" x14ac:dyDescent="0.3">
      <c r="A3" s="76"/>
      <c r="B3" s="449"/>
      <c r="C3" s="80"/>
      <c r="D3" s="449"/>
      <c r="E3" s="449"/>
      <c r="F3" s="449"/>
      <c r="G3" s="449"/>
      <c r="H3" s="449"/>
      <c r="I3" s="449"/>
      <c r="J3" s="449"/>
      <c r="K3" s="449"/>
      <c r="L3" s="449"/>
      <c r="M3" s="449"/>
      <c r="N3" s="449"/>
      <c r="O3" s="449"/>
      <c r="P3" s="449"/>
      <c r="Q3" s="449"/>
      <c r="R3" s="92"/>
      <c r="S3" s="94" t="s">
        <v>393</v>
      </c>
      <c r="T3" s="612">
        <f>IF(ISNUMBER(CoverSheet!$C$12),CoverSheet!$C$12,"")</f>
        <v>43190</v>
      </c>
      <c r="U3" s="668"/>
      <c r="V3" s="668"/>
      <c r="W3" s="612"/>
      <c r="X3" s="612"/>
      <c r="Y3" s="50"/>
      <c r="Z3" s="214"/>
    </row>
    <row r="4" spans="1:26" s="24" customFormat="1" ht="18" customHeight="1" x14ac:dyDescent="0.35">
      <c r="A4" s="51"/>
      <c r="B4" s="449"/>
      <c r="C4" s="81"/>
      <c r="D4" s="449"/>
      <c r="E4" s="449"/>
      <c r="F4" s="449"/>
      <c r="G4" s="449"/>
      <c r="H4" s="449"/>
      <c r="I4" s="449"/>
      <c r="J4" s="449"/>
      <c r="K4" s="449"/>
      <c r="L4" s="449"/>
      <c r="M4" s="449"/>
      <c r="N4" s="673"/>
      <c r="O4" s="673"/>
      <c r="P4" s="673"/>
      <c r="Q4" s="673"/>
      <c r="R4" s="449"/>
      <c r="S4" s="94" t="s">
        <v>417</v>
      </c>
      <c r="T4" s="669"/>
      <c r="U4" s="670"/>
      <c r="V4" s="670"/>
      <c r="W4" s="669"/>
      <c r="X4" s="669"/>
      <c r="Y4" s="50"/>
      <c r="Z4" s="214"/>
    </row>
    <row r="5" spans="1:26" s="25" customFormat="1" ht="23.25" customHeight="1" x14ac:dyDescent="0.35">
      <c r="A5" s="545" t="s">
        <v>577</v>
      </c>
      <c r="B5" s="452"/>
      <c r="C5" s="452"/>
      <c r="D5" s="452"/>
      <c r="E5" s="452"/>
      <c r="F5" s="452"/>
      <c r="G5" s="452"/>
      <c r="H5" s="452"/>
      <c r="I5" s="452"/>
      <c r="J5" s="452"/>
      <c r="K5" s="452"/>
      <c r="L5" s="452"/>
      <c r="M5" s="452"/>
      <c r="N5" s="452"/>
      <c r="O5" s="452"/>
      <c r="P5" s="452"/>
      <c r="Q5" s="452"/>
      <c r="R5" s="452"/>
      <c r="S5" s="452"/>
      <c r="T5" s="452"/>
      <c r="U5" s="452"/>
      <c r="V5" s="452"/>
      <c r="W5" s="452"/>
      <c r="X5" s="452"/>
      <c r="Y5" s="52"/>
      <c r="Z5" s="214"/>
    </row>
    <row r="6" spans="1:26" s="184" customFormat="1" ht="27" customHeight="1" x14ac:dyDescent="0.2">
      <c r="A6" s="609" t="s">
        <v>507</v>
      </c>
      <c r="B6" s="613"/>
      <c r="C6" s="613"/>
      <c r="D6" s="613"/>
      <c r="E6" s="613"/>
      <c r="F6" s="613"/>
      <c r="G6" s="613"/>
      <c r="H6" s="613"/>
      <c r="I6" s="613"/>
      <c r="J6" s="613"/>
      <c r="K6" s="613"/>
      <c r="L6" s="613"/>
      <c r="M6" s="613"/>
      <c r="N6" s="613"/>
      <c r="O6" s="613"/>
      <c r="P6" s="613"/>
      <c r="Q6" s="613"/>
      <c r="R6" s="613"/>
      <c r="S6" s="613"/>
      <c r="T6" s="92"/>
      <c r="U6" s="92"/>
      <c r="V6" s="92"/>
      <c r="W6" s="92"/>
      <c r="X6" s="92"/>
      <c r="Y6" s="50"/>
      <c r="Z6" s="213"/>
    </row>
    <row r="7" spans="1:26" s="24" customFormat="1" ht="15" customHeight="1" x14ac:dyDescent="0.2">
      <c r="A7" s="87" t="s">
        <v>623</v>
      </c>
      <c r="B7" s="452"/>
      <c r="C7" s="53"/>
      <c r="D7" s="449"/>
      <c r="E7" s="449"/>
      <c r="F7" s="449"/>
      <c r="G7" s="449"/>
      <c r="H7" s="449"/>
      <c r="I7" s="449"/>
      <c r="J7" s="449"/>
      <c r="K7" s="449"/>
      <c r="L7" s="449"/>
      <c r="M7" s="449"/>
      <c r="N7" s="449"/>
      <c r="O7" s="449"/>
      <c r="P7" s="449"/>
      <c r="Q7" s="449"/>
      <c r="R7" s="449"/>
      <c r="S7" s="449"/>
      <c r="T7" s="449"/>
      <c r="U7" s="570"/>
      <c r="V7" s="570"/>
      <c r="W7" s="449"/>
      <c r="X7" s="449"/>
      <c r="Y7" s="50"/>
      <c r="Z7" s="214"/>
    </row>
    <row r="8" spans="1:26" s="152" customFormat="1" ht="29.25" customHeight="1" x14ac:dyDescent="0.3">
      <c r="A8" s="116">
        <v>8</v>
      </c>
      <c r="B8" s="172"/>
      <c r="C8" s="197" t="s">
        <v>569</v>
      </c>
      <c r="D8" s="169"/>
      <c r="E8" s="169"/>
      <c r="F8" s="169"/>
      <c r="G8" s="172"/>
      <c r="H8" s="169"/>
      <c r="I8" s="172"/>
      <c r="J8" s="172"/>
      <c r="K8" s="172"/>
      <c r="L8" s="172"/>
      <c r="M8" s="169"/>
      <c r="N8" s="169"/>
      <c r="O8" s="169"/>
      <c r="P8" s="172"/>
      <c r="Q8" s="172"/>
      <c r="R8" s="172"/>
      <c r="S8" s="172"/>
      <c r="T8" s="172"/>
      <c r="U8" s="172"/>
      <c r="V8" s="172"/>
      <c r="W8" s="172"/>
      <c r="X8" s="172"/>
      <c r="Y8" s="147"/>
      <c r="Z8" s="221"/>
    </row>
    <row r="9" spans="1:26" s="152" customFormat="1" ht="15.75" customHeight="1" x14ac:dyDescent="0.25">
      <c r="A9" s="116">
        <v>9</v>
      </c>
      <c r="B9" s="172"/>
      <c r="C9" s="172"/>
      <c r="D9" s="169"/>
      <c r="E9" s="169"/>
      <c r="F9" s="169"/>
      <c r="G9" s="172"/>
      <c r="H9" s="169"/>
      <c r="I9" s="172"/>
      <c r="J9" s="172"/>
      <c r="K9" s="172"/>
      <c r="L9" s="172"/>
      <c r="M9" s="169"/>
      <c r="N9" s="169"/>
      <c r="O9" s="169"/>
      <c r="P9" s="172"/>
      <c r="Q9" s="172"/>
      <c r="R9" s="172"/>
      <c r="S9" s="172"/>
      <c r="T9" s="172"/>
      <c r="U9" s="172"/>
      <c r="V9" s="172"/>
      <c r="W9" s="172"/>
      <c r="X9" s="172"/>
      <c r="Y9" s="147"/>
      <c r="Z9" s="221"/>
    </row>
    <row r="10" spans="1:26" s="152" customFormat="1" ht="15" customHeight="1" x14ac:dyDescent="0.25">
      <c r="A10" s="116">
        <v>10</v>
      </c>
      <c r="B10" s="194"/>
      <c r="C10" s="172"/>
      <c r="D10" s="169"/>
      <c r="E10" s="169"/>
      <c r="F10" s="169"/>
      <c r="G10" s="172"/>
      <c r="H10" s="169"/>
      <c r="I10" s="169"/>
      <c r="J10" s="169"/>
      <c r="K10" s="169"/>
      <c r="L10" s="169"/>
      <c r="M10" s="169"/>
      <c r="N10" s="169"/>
      <c r="O10" s="169"/>
      <c r="P10" s="168"/>
      <c r="Q10" s="169"/>
      <c r="R10" s="169"/>
      <c r="S10" s="169"/>
      <c r="T10" s="169"/>
      <c r="U10" s="169"/>
      <c r="V10" s="169"/>
      <c r="W10" s="172"/>
      <c r="X10" s="172"/>
      <c r="Y10" s="147"/>
      <c r="Z10" s="221"/>
    </row>
    <row r="11" spans="1:26" s="152" customFormat="1" ht="15" customHeight="1" x14ac:dyDescent="0.25">
      <c r="A11" s="116">
        <v>11</v>
      </c>
      <c r="B11" s="447"/>
      <c r="C11" s="224"/>
      <c r="D11" s="226"/>
      <c r="E11" s="226"/>
      <c r="F11" s="226"/>
      <c r="G11" s="226"/>
      <c r="H11" s="226"/>
      <c r="I11" s="187"/>
      <c r="J11" s="187"/>
      <c r="K11" s="187"/>
      <c r="L11" s="187"/>
      <c r="M11" s="169"/>
      <c r="N11" s="169"/>
      <c r="O11" s="169"/>
      <c r="P11" s="168" t="s">
        <v>448</v>
      </c>
      <c r="Q11" s="187"/>
      <c r="R11" s="169"/>
      <c r="S11" s="169"/>
      <c r="T11" s="169"/>
      <c r="U11" s="169"/>
      <c r="V11" s="169"/>
      <c r="W11" s="169"/>
      <c r="X11" s="672" t="s">
        <v>449</v>
      </c>
      <c r="Y11" s="147"/>
      <c r="Z11" s="221"/>
    </row>
    <row r="12" spans="1:26" s="152" customFormat="1" ht="57.75" customHeight="1" x14ac:dyDescent="0.25">
      <c r="A12" s="116">
        <v>12</v>
      </c>
      <c r="B12" s="447"/>
      <c r="C12" s="224"/>
      <c r="D12" s="226"/>
      <c r="E12" s="226"/>
      <c r="F12" s="226"/>
      <c r="G12" s="226"/>
      <c r="H12" s="226"/>
      <c r="I12" s="187"/>
      <c r="J12" s="187"/>
      <c r="K12" s="187"/>
      <c r="L12" s="187"/>
      <c r="M12" s="169"/>
      <c r="N12" s="676" t="s">
        <v>479</v>
      </c>
      <c r="O12" s="677"/>
      <c r="P12" s="590" t="s">
        <v>990</v>
      </c>
      <c r="Q12" s="590" t="s">
        <v>991</v>
      </c>
      <c r="R12" s="590" t="s">
        <v>992</v>
      </c>
      <c r="S12" s="590" t="s">
        <v>993</v>
      </c>
      <c r="T12" s="590" t="s">
        <v>994</v>
      </c>
      <c r="U12" s="590" t="s">
        <v>995</v>
      </c>
      <c r="V12" s="590" t="s">
        <v>996</v>
      </c>
      <c r="W12" s="590" t="s">
        <v>997</v>
      </c>
      <c r="X12" s="672"/>
      <c r="Y12" s="147"/>
      <c r="Z12" s="221"/>
    </row>
    <row r="13" spans="1:26" s="152" customFormat="1" ht="57.75" customHeight="1" x14ac:dyDescent="0.25">
      <c r="A13" s="116">
        <v>13</v>
      </c>
      <c r="B13" s="447"/>
      <c r="C13" s="224"/>
      <c r="D13" s="448" t="s">
        <v>446</v>
      </c>
      <c r="E13" s="448" t="s">
        <v>563</v>
      </c>
      <c r="F13" s="448" t="s">
        <v>480</v>
      </c>
      <c r="G13" s="448" t="s">
        <v>340</v>
      </c>
      <c r="H13" s="448" t="s">
        <v>451</v>
      </c>
      <c r="I13" s="187"/>
      <c r="J13" s="187"/>
      <c r="K13" s="187"/>
      <c r="L13" s="187"/>
      <c r="M13" s="169"/>
      <c r="N13" s="674" t="s">
        <v>574</v>
      </c>
      <c r="O13" s="675"/>
      <c r="P13" s="590" t="s">
        <v>998</v>
      </c>
      <c r="Q13" s="590" t="s">
        <v>999</v>
      </c>
      <c r="R13" s="590" t="s">
        <v>999</v>
      </c>
      <c r="S13" s="590" t="s">
        <v>1000</v>
      </c>
      <c r="T13" s="590" t="s">
        <v>998</v>
      </c>
      <c r="U13" s="590" t="s">
        <v>999</v>
      </c>
      <c r="V13" s="590" t="s">
        <v>999</v>
      </c>
      <c r="W13" s="590" t="s">
        <v>1000</v>
      </c>
      <c r="X13" s="672"/>
      <c r="Y13" s="147"/>
      <c r="Z13" s="221"/>
    </row>
    <row r="14" spans="1:26" s="152" customFormat="1" ht="15" customHeight="1" x14ac:dyDescent="0.25">
      <c r="A14" s="116">
        <v>14</v>
      </c>
      <c r="B14" s="194"/>
      <c r="C14" s="172"/>
      <c r="D14" s="169"/>
      <c r="E14" s="169"/>
      <c r="F14" s="169"/>
      <c r="G14" s="169"/>
      <c r="H14" s="169"/>
      <c r="I14" s="172"/>
      <c r="J14" s="172"/>
      <c r="K14" s="172"/>
      <c r="L14" s="172"/>
      <c r="M14" s="169"/>
      <c r="N14" s="169"/>
      <c r="O14" s="169"/>
      <c r="P14" s="451"/>
      <c r="Q14" s="451"/>
      <c r="R14" s="451"/>
      <c r="S14" s="451"/>
      <c r="T14" s="451"/>
      <c r="U14" s="571"/>
      <c r="V14" s="571"/>
      <c r="W14" s="451"/>
      <c r="X14" s="672"/>
      <c r="Y14" s="147"/>
      <c r="Z14" s="221"/>
    </row>
    <row r="15" spans="1:26" s="152" customFormat="1" ht="15" customHeight="1" x14ac:dyDescent="0.25">
      <c r="A15" s="116">
        <v>15</v>
      </c>
      <c r="B15" s="169"/>
      <c r="C15" s="224"/>
      <c r="D15" s="586" t="s">
        <v>959</v>
      </c>
      <c r="E15" s="586" t="s">
        <v>960</v>
      </c>
      <c r="F15" s="589" t="s">
        <v>961</v>
      </c>
      <c r="G15" s="581">
        <v>1515</v>
      </c>
      <c r="H15" s="581">
        <v>9284.0270400000009</v>
      </c>
      <c r="I15" s="172"/>
      <c r="J15" s="172"/>
      <c r="K15" s="172"/>
      <c r="L15" s="172"/>
      <c r="M15" s="169"/>
      <c r="N15" s="169"/>
      <c r="O15" s="169"/>
      <c r="P15" s="3">
        <v>1515</v>
      </c>
      <c r="Q15" s="3">
        <v>6498.8189279999997</v>
      </c>
      <c r="R15" s="3">
        <v>2785.2081120000003</v>
      </c>
      <c r="S15" s="3">
        <v>0</v>
      </c>
      <c r="T15" s="3">
        <v>0</v>
      </c>
      <c r="U15" s="582">
        <v>6498.8189279999997</v>
      </c>
      <c r="V15" s="582">
        <v>2785.2081120000003</v>
      </c>
      <c r="W15" s="3">
        <v>0</v>
      </c>
      <c r="X15" s="172"/>
      <c r="Y15" s="147"/>
      <c r="Z15" s="221"/>
    </row>
    <row r="16" spans="1:26" s="152" customFormat="1" ht="15" customHeight="1" x14ac:dyDescent="0.25">
      <c r="A16" s="116">
        <v>16</v>
      </c>
      <c r="B16" s="169"/>
      <c r="C16" s="224"/>
      <c r="D16" s="586" t="s">
        <v>962</v>
      </c>
      <c r="E16" s="586" t="s">
        <v>960</v>
      </c>
      <c r="F16" s="589" t="s">
        <v>961</v>
      </c>
      <c r="G16" s="581">
        <v>8695.5</v>
      </c>
      <c r="H16" s="581">
        <v>50385.547810000004</v>
      </c>
      <c r="I16" s="172"/>
      <c r="J16" s="172"/>
      <c r="K16" s="172"/>
      <c r="L16" s="172"/>
      <c r="M16" s="169"/>
      <c r="N16" s="169"/>
      <c r="O16" s="169"/>
      <c r="P16" s="3">
        <v>8695.5</v>
      </c>
      <c r="Q16" s="3">
        <v>35269.883467</v>
      </c>
      <c r="R16" s="3">
        <v>15115.664343000002</v>
      </c>
      <c r="S16" s="3">
        <v>0</v>
      </c>
      <c r="T16" s="3">
        <v>0</v>
      </c>
      <c r="U16" s="582">
        <v>35269.883467</v>
      </c>
      <c r="V16" s="582">
        <v>15115.664343000002</v>
      </c>
      <c r="W16" s="3">
        <v>0</v>
      </c>
      <c r="X16" s="172"/>
      <c r="Y16" s="147"/>
      <c r="Z16" s="221"/>
    </row>
    <row r="17" spans="1:26" s="152" customFormat="1" ht="15" customHeight="1" x14ac:dyDescent="0.25">
      <c r="A17" s="116">
        <v>17</v>
      </c>
      <c r="B17" s="169"/>
      <c r="C17" s="224"/>
      <c r="D17" s="586" t="s">
        <v>963</v>
      </c>
      <c r="E17" s="586" t="s">
        <v>964</v>
      </c>
      <c r="F17" s="589" t="s">
        <v>961</v>
      </c>
      <c r="G17" s="581">
        <v>14</v>
      </c>
      <c r="H17" s="581">
        <v>96.285609999999991</v>
      </c>
      <c r="I17" s="172"/>
      <c r="J17" s="172"/>
      <c r="K17" s="172"/>
      <c r="L17" s="172"/>
      <c r="M17" s="169"/>
      <c r="N17" s="169"/>
      <c r="O17" s="169"/>
      <c r="P17" s="3">
        <v>14</v>
      </c>
      <c r="Q17" s="3">
        <v>67.399926999999991</v>
      </c>
      <c r="R17" s="3">
        <v>28.885683000000004</v>
      </c>
      <c r="S17" s="3">
        <v>0</v>
      </c>
      <c r="T17" s="3">
        <v>0</v>
      </c>
      <c r="U17" s="582">
        <v>67.399926999999991</v>
      </c>
      <c r="V17" s="582">
        <v>28.885683000000004</v>
      </c>
      <c r="W17" s="3">
        <v>0</v>
      </c>
      <c r="X17" s="172"/>
      <c r="Y17" s="147"/>
      <c r="Z17" s="221"/>
    </row>
    <row r="18" spans="1:26" s="152" customFormat="1" ht="15" customHeight="1" x14ac:dyDescent="0.25">
      <c r="A18" s="116">
        <v>18</v>
      </c>
      <c r="B18" s="169"/>
      <c r="C18" s="224"/>
      <c r="D18" s="586" t="s">
        <v>965</v>
      </c>
      <c r="E18" s="586" t="s">
        <v>964</v>
      </c>
      <c r="F18" s="589" t="s">
        <v>961</v>
      </c>
      <c r="G18" s="581">
        <v>22.5</v>
      </c>
      <c r="H18" s="581">
        <v>120.46399999999998</v>
      </c>
      <c r="I18" s="172"/>
      <c r="J18" s="172"/>
      <c r="K18" s="172"/>
      <c r="L18" s="172"/>
      <c r="M18" s="169"/>
      <c r="N18" s="169"/>
      <c r="O18" s="169"/>
      <c r="P18" s="3">
        <v>22.5</v>
      </c>
      <c r="Q18" s="3">
        <v>84.324799999999982</v>
      </c>
      <c r="R18" s="3">
        <v>36.139200000000002</v>
      </c>
      <c r="S18" s="3">
        <v>0</v>
      </c>
      <c r="T18" s="3">
        <v>0</v>
      </c>
      <c r="U18" s="582">
        <v>84.324799999999982</v>
      </c>
      <c r="V18" s="582">
        <v>36.139200000000002</v>
      </c>
      <c r="W18" s="3">
        <v>0</v>
      </c>
      <c r="X18" s="172"/>
      <c r="Y18" s="147"/>
      <c r="Z18" s="221"/>
    </row>
    <row r="19" spans="1:26" s="152" customFormat="1" ht="15" customHeight="1" x14ac:dyDescent="0.25">
      <c r="A19" s="116"/>
      <c r="B19" s="169"/>
      <c r="C19" s="224"/>
      <c r="D19" s="586" t="s">
        <v>966</v>
      </c>
      <c r="E19" s="586" t="s">
        <v>967</v>
      </c>
      <c r="F19" s="589" t="s">
        <v>961</v>
      </c>
      <c r="G19" s="581">
        <v>6191</v>
      </c>
      <c r="H19" s="581">
        <v>56886.606889999995</v>
      </c>
      <c r="I19" s="172"/>
      <c r="J19" s="172"/>
      <c r="K19" s="172"/>
      <c r="L19" s="172"/>
      <c r="M19" s="169"/>
      <c r="N19" s="169"/>
      <c r="O19" s="169"/>
      <c r="P19" s="582">
        <v>6191</v>
      </c>
      <c r="Q19" s="582">
        <v>39820.624822999998</v>
      </c>
      <c r="R19" s="582">
        <v>17065.982067000001</v>
      </c>
      <c r="S19" s="582">
        <v>0</v>
      </c>
      <c r="T19" s="582">
        <v>0</v>
      </c>
      <c r="U19" s="582">
        <v>39820.624822999998</v>
      </c>
      <c r="V19" s="582">
        <v>17065.982067000001</v>
      </c>
      <c r="W19" s="582">
        <v>0</v>
      </c>
      <c r="X19" s="172"/>
      <c r="Y19" s="147"/>
      <c r="Z19" s="221"/>
    </row>
    <row r="20" spans="1:26" s="152" customFormat="1" ht="15" customHeight="1" x14ac:dyDescent="0.25">
      <c r="A20" s="116"/>
      <c r="B20" s="169"/>
      <c r="C20" s="224"/>
      <c r="D20" s="586" t="s">
        <v>968</v>
      </c>
      <c r="E20" s="586" t="s">
        <v>967</v>
      </c>
      <c r="F20" s="589" t="s">
        <v>961</v>
      </c>
      <c r="G20" s="581">
        <v>13379.5</v>
      </c>
      <c r="H20" s="581">
        <v>114959.77174</v>
      </c>
      <c r="I20" s="172"/>
      <c r="J20" s="172"/>
      <c r="K20" s="172"/>
      <c r="L20" s="172"/>
      <c r="M20" s="169"/>
      <c r="N20" s="169"/>
      <c r="O20" s="169"/>
      <c r="P20" s="582">
        <v>13379.5</v>
      </c>
      <c r="Q20" s="582">
        <v>80471.840217999998</v>
      </c>
      <c r="R20" s="582">
        <v>34487.931522000006</v>
      </c>
      <c r="S20" s="582">
        <v>0</v>
      </c>
      <c r="T20" s="582">
        <v>0</v>
      </c>
      <c r="U20" s="582">
        <v>80471.840217999998</v>
      </c>
      <c r="V20" s="582">
        <v>34487.931522000006</v>
      </c>
      <c r="W20" s="582">
        <v>0</v>
      </c>
      <c r="X20" s="172"/>
      <c r="Y20" s="147"/>
      <c r="Z20" s="221"/>
    </row>
    <row r="21" spans="1:26" s="152" customFormat="1" ht="15" customHeight="1" x14ac:dyDescent="0.25">
      <c r="A21" s="116"/>
      <c r="B21" s="169"/>
      <c r="C21" s="224"/>
      <c r="D21" s="586" t="s">
        <v>969</v>
      </c>
      <c r="E21" s="586" t="s">
        <v>970</v>
      </c>
      <c r="F21" s="589" t="s">
        <v>961</v>
      </c>
      <c r="G21" s="581">
        <v>30</v>
      </c>
      <c r="H21" s="581">
        <v>320.60900000000004</v>
      </c>
      <c r="I21" s="172"/>
      <c r="J21" s="172"/>
      <c r="K21" s="172"/>
      <c r="L21" s="172"/>
      <c r="M21" s="169"/>
      <c r="N21" s="169"/>
      <c r="O21" s="169"/>
      <c r="P21" s="582">
        <v>30</v>
      </c>
      <c r="Q21" s="582">
        <v>224.4263</v>
      </c>
      <c r="R21" s="582">
        <v>96.182700000000011</v>
      </c>
      <c r="S21" s="582">
        <v>0</v>
      </c>
      <c r="T21" s="582">
        <v>30</v>
      </c>
      <c r="U21" s="582">
        <v>224.4263</v>
      </c>
      <c r="V21" s="582">
        <v>96.182700000000011</v>
      </c>
      <c r="W21" s="582">
        <v>0</v>
      </c>
      <c r="X21" s="172"/>
      <c r="Y21" s="147"/>
      <c r="Z21" s="221"/>
    </row>
    <row r="22" spans="1:26" s="152" customFormat="1" ht="15" customHeight="1" x14ac:dyDescent="0.25">
      <c r="A22" s="116"/>
      <c r="B22" s="169"/>
      <c r="C22" s="224"/>
      <c r="D22" s="586" t="s">
        <v>971</v>
      </c>
      <c r="E22" s="586" t="s">
        <v>970</v>
      </c>
      <c r="F22" s="589" t="s">
        <v>961</v>
      </c>
      <c r="G22" s="581">
        <v>46.5</v>
      </c>
      <c r="H22" s="581">
        <v>388.71170000000001</v>
      </c>
      <c r="I22" s="172"/>
      <c r="J22" s="172"/>
      <c r="K22" s="172"/>
      <c r="L22" s="172"/>
      <c r="M22" s="169"/>
      <c r="N22" s="169"/>
      <c r="O22" s="169"/>
      <c r="P22" s="582">
        <v>46.5</v>
      </c>
      <c r="Q22" s="582">
        <v>272.09818999999999</v>
      </c>
      <c r="R22" s="582">
        <v>116.61351000000002</v>
      </c>
      <c r="S22" s="582">
        <v>0</v>
      </c>
      <c r="T22" s="582">
        <v>46.5</v>
      </c>
      <c r="U22" s="582">
        <v>272.09818999999999</v>
      </c>
      <c r="V22" s="582">
        <v>116.61351000000002</v>
      </c>
      <c r="W22" s="582">
        <v>0</v>
      </c>
      <c r="X22" s="172"/>
      <c r="Y22" s="147"/>
      <c r="Z22" s="221"/>
    </row>
    <row r="23" spans="1:26" s="152" customFormat="1" ht="15" customHeight="1" x14ac:dyDescent="0.25">
      <c r="A23" s="116"/>
      <c r="B23" s="169"/>
      <c r="C23" s="224"/>
      <c r="D23" s="586" t="s">
        <v>972</v>
      </c>
      <c r="E23" s="586" t="s">
        <v>973</v>
      </c>
      <c r="F23" s="589" t="s">
        <v>961</v>
      </c>
      <c r="G23" s="581">
        <v>509</v>
      </c>
      <c r="H23" s="581">
        <v>11489.936460000001</v>
      </c>
      <c r="I23" s="172"/>
      <c r="J23" s="172"/>
      <c r="K23" s="172"/>
      <c r="L23" s="172"/>
      <c r="M23" s="169"/>
      <c r="N23" s="169"/>
      <c r="O23" s="169"/>
      <c r="P23" s="582">
        <v>509</v>
      </c>
      <c r="Q23" s="582">
        <v>8042.9555220000002</v>
      </c>
      <c r="R23" s="582">
        <v>3446.9809380000006</v>
      </c>
      <c r="S23" s="582">
        <v>0</v>
      </c>
      <c r="T23" s="582">
        <v>0</v>
      </c>
      <c r="U23" s="582">
        <v>8042.9555220000002</v>
      </c>
      <c r="V23" s="582">
        <v>3446.9809380000006</v>
      </c>
      <c r="W23" s="582">
        <v>0</v>
      </c>
      <c r="X23" s="172"/>
      <c r="Y23" s="147"/>
      <c r="Z23" s="221"/>
    </row>
    <row r="24" spans="1:26" s="152" customFormat="1" ht="15" customHeight="1" x14ac:dyDescent="0.25">
      <c r="A24" s="116"/>
      <c r="B24" s="169"/>
      <c r="C24" s="224"/>
      <c r="D24" s="586" t="s">
        <v>974</v>
      </c>
      <c r="E24" s="586" t="s">
        <v>973</v>
      </c>
      <c r="F24" s="589" t="s">
        <v>961</v>
      </c>
      <c r="G24" s="581">
        <v>730.5</v>
      </c>
      <c r="H24" s="581">
        <v>22532.281559999999</v>
      </c>
      <c r="I24" s="172"/>
      <c r="J24" s="172"/>
      <c r="K24" s="172"/>
      <c r="L24" s="172"/>
      <c r="M24" s="169"/>
      <c r="N24" s="169"/>
      <c r="O24" s="169"/>
      <c r="P24" s="582">
        <v>730.5</v>
      </c>
      <c r="Q24" s="582">
        <v>15772.597091999998</v>
      </c>
      <c r="R24" s="582">
        <v>6759.6844680000004</v>
      </c>
      <c r="S24" s="582">
        <v>0</v>
      </c>
      <c r="T24" s="582">
        <v>0</v>
      </c>
      <c r="U24" s="582">
        <v>15772.597091999998</v>
      </c>
      <c r="V24" s="582">
        <v>6759.6844680000004</v>
      </c>
      <c r="W24" s="582">
        <v>0</v>
      </c>
      <c r="X24" s="172"/>
      <c r="Y24" s="147"/>
      <c r="Z24" s="221"/>
    </row>
    <row r="25" spans="1:26" s="152" customFormat="1" ht="15" customHeight="1" x14ac:dyDescent="0.25">
      <c r="A25" s="116"/>
      <c r="B25" s="169"/>
      <c r="C25" s="224"/>
      <c r="D25" s="586" t="s">
        <v>975</v>
      </c>
      <c r="E25" s="586" t="s">
        <v>976</v>
      </c>
      <c r="F25" s="589" t="s">
        <v>961</v>
      </c>
      <c r="G25" s="581">
        <v>14</v>
      </c>
      <c r="H25" s="581">
        <v>603.09394000000009</v>
      </c>
      <c r="I25" s="172"/>
      <c r="J25" s="172"/>
      <c r="K25" s="172"/>
      <c r="L25" s="172"/>
      <c r="M25" s="169"/>
      <c r="N25" s="169"/>
      <c r="O25" s="169"/>
      <c r="P25" s="582">
        <v>14</v>
      </c>
      <c r="Q25" s="582">
        <v>422.16575800000004</v>
      </c>
      <c r="R25" s="582">
        <v>180.92818200000005</v>
      </c>
      <c r="S25" s="582">
        <v>0</v>
      </c>
      <c r="T25" s="582">
        <v>14</v>
      </c>
      <c r="U25" s="582">
        <v>422.16575800000004</v>
      </c>
      <c r="V25" s="582">
        <v>180.92818200000005</v>
      </c>
      <c r="W25" s="582">
        <v>0</v>
      </c>
      <c r="X25" s="172"/>
      <c r="Y25" s="147"/>
      <c r="Z25" s="221"/>
    </row>
    <row r="26" spans="1:26" s="152" customFormat="1" ht="15" customHeight="1" x14ac:dyDescent="0.25">
      <c r="A26" s="116"/>
      <c r="B26" s="169"/>
      <c r="C26" s="224"/>
      <c r="D26" s="586" t="s">
        <v>977</v>
      </c>
      <c r="E26" s="586" t="s">
        <v>976</v>
      </c>
      <c r="F26" s="589" t="s">
        <v>961</v>
      </c>
      <c r="G26" s="581">
        <v>12.5</v>
      </c>
      <c r="H26" s="581">
        <v>341.16971999999998</v>
      </c>
      <c r="I26" s="172"/>
      <c r="J26" s="172"/>
      <c r="K26" s="172"/>
      <c r="L26" s="172"/>
      <c r="M26" s="169"/>
      <c r="N26" s="169"/>
      <c r="O26" s="169"/>
      <c r="P26" s="582">
        <v>12.5</v>
      </c>
      <c r="Q26" s="582">
        <v>238.81880399999997</v>
      </c>
      <c r="R26" s="582">
        <v>102.35091600000001</v>
      </c>
      <c r="S26" s="582">
        <v>0</v>
      </c>
      <c r="T26" s="582">
        <v>12.5</v>
      </c>
      <c r="U26" s="582">
        <v>238.81880399999997</v>
      </c>
      <c r="V26" s="582">
        <v>102.35091600000001</v>
      </c>
      <c r="W26" s="582">
        <v>0</v>
      </c>
      <c r="X26" s="172"/>
      <c r="Y26" s="147"/>
      <c r="Z26" s="221"/>
    </row>
    <row r="27" spans="1:26" s="152" customFormat="1" ht="15" customHeight="1" x14ac:dyDescent="0.25">
      <c r="A27" s="116"/>
      <c r="B27" s="169"/>
      <c r="C27" s="224"/>
      <c r="D27" s="586" t="s">
        <v>978</v>
      </c>
      <c r="E27" s="586" t="s">
        <v>979</v>
      </c>
      <c r="F27" s="589" t="s">
        <v>961</v>
      </c>
      <c r="G27" s="581">
        <v>1269.5</v>
      </c>
      <c r="H27" s="581">
        <v>132851.03821999999</v>
      </c>
      <c r="I27" s="172"/>
      <c r="J27" s="172"/>
      <c r="K27" s="172"/>
      <c r="L27" s="172"/>
      <c r="M27" s="169"/>
      <c r="N27" s="169"/>
      <c r="O27" s="169"/>
      <c r="P27" s="582">
        <v>1269.5</v>
      </c>
      <c r="Q27" s="582">
        <v>92809.431534999996</v>
      </c>
      <c r="R27" s="582">
        <v>40041.606684999999</v>
      </c>
      <c r="S27" s="582">
        <v>107.217</v>
      </c>
      <c r="T27" s="582">
        <v>0</v>
      </c>
      <c r="U27" s="582">
        <v>92809.431534999996</v>
      </c>
      <c r="V27" s="582">
        <v>40041.606684999999</v>
      </c>
      <c r="W27" s="582">
        <v>107.217</v>
      </c>
      <c r="X27" s="172"/>
      <c r="Y27" s="147"/>
      <c r="Z27" s="221"/>
    </row>
    <row r="28" spans="1:26" s="152" customFormat="1" ht="15" customHeight="1" x14ac:dyDescent="0.25">
      <c r="A28" s="116">
        <v>19</v>
      </c>
      <c r="B28" s="169"/>
      <c r="C28" s="224"/>
      <c r="D28" s="586" t="s">
        <v>980</v>
      </c>
      <c r="E28" s="586" t="s">
        <v>979</v>
      </c>
      <c r="F28" s="589" t="s">
        <v>961</v>
      </c>
      <c r="G28" s="581">
        <v>383</v>
      </c>
      <c r="H28" s="581">
        <v>37808.742409999999</v>
      </c>
      <c r="I28" s="172"/>
      <c r="J28" s="172"/>
      <c r="K28" s="172"/>
      <c r="L28" s="172"/>
      <c r="M28" s="169"/>
      <c r="N28" s="169"/>
      <c r="O28" s="169"/>
      <c r="P28" s="3">
        <v>383</v>
      </c>
      <c r="Q28" s="3">
        <v>25899.245728999998</v>
      </c>
      <c r="R28" s="3">
        <v>11909.496681000002</v>
      </c>
      <c r="S28" s="3">
        <v>36.073</v>
      </c>
      <c r="T28" s="3">
        <v>0</v>
      </c>
      <c r="U28" s="582">
        <v>25899.245728999998</v>
      </c>
      <c r="V28" s="582">
        <v>11909.496681000002</v>
      </c>
      <c r="W28" s="3">
        <v>36.073</v>
      </c>
      <c r="X28" s="172"/>
      <c r="Y28" s="147"/>
      <c r="Z28" s="221"/>
    </row>
    <row r="29" spans="1:26" s="152" customFormat="1" ht="15" customHeight="1" x14ac:dyDescent="0.25">
      <c r="A29" s="116">
        <v>20</v>
      </c>
      <c r="B29" s="169"/>
      <c r="C29" s="224"/>
      <c r="D29" s="586" t="s">
        <v>981</v>
      </c>
      <c r="E29" s="586" t="s">
        <v>982</v>
      </c>
      <c r="F29" s="589" t="s">
        <v>961</v>
      </c>
      <c r="G29" s="581">
        <v>38</v>
      </c>
      <c r="H29" s="581">
        <v>23456.905279999999</v>
      </c>
      <c r="I29" s="172"/>
      <c r="J29" s="172"/>
      <c r="K29" s="172"/>
      <c r="L29" s="172"/>
      <c r="M29" s="169"/>
      <c r="N29" s="169"/>
      <c r="O29" s="169"/>
      <c r="P29" s="3">
        <v>38</v>
      </c>
      <c r="Q29" s="3">
        <v>16450.066149999999</v>
      </c>
      <c r="R29" s="3">
        <v>7006.8391300000003</v>
      </c>
      <c r="S29" s="3">
        <v>8.4730000000000008</v>
      </c>
      <c r="T29" s="3">
        <v>0</v>
      </c>
      <c r="U29" s="582">
        <v>16450.066149999999</v>
      </c>
      <c r="V29" s="582">
        <v>7006.8391300000003</v>
      </c>
      <c r="W29" s="3">
        <v>8.4730000000000008</v>
      </c>
      <c r="X29" s="172"/>
      <c r="Y29" s="147"/>
      <c r="Z29" s="221"/>
    </row>
    <row r="30" spans="1:26" s="152" customFormat="1" ht="15" customHeight="1" x14ac:dyDescent="0.25">
      <c r="A30" s="116">
        <v>21</v>
      </c>
      <c r="B30" s="169"/>
      <c r="C30" s="224"/>
      <c r="D30" s="586" t="s">
        <v>983</v>
      </c>
      <c r="E30" s="586" t="s">
        <v>982</v>
      </c>
      <c r="F30" s="589" t="s">
        <v>961</v>
      </c>
      <c r="G30" s="581">
        <v>103.5</v>
      </c>
      <c r="H30" s="581">
        <v>103944.66807</v>
      </c>
      <c r="I30" s="172"/>
      <c r="J30" s="172"/>
      <c r="K30" s="172"/>
      <c r="L30" s="172"/>
      <c r="M30" s="169"/>
      <c r="N30" s="169"/>
      <c r="O30" s="169"/>
      <c r="P30" s="3">
        <v>103.5</v>
      </c>
      <c r="Q30" s="3">
        <v>71552.199550000005</v>
      </c>
      <c r="R30" s="3">
        <v>32392.468519999999</v>
      </c>
      <c r="S30" s="3">
        <v>22.405999999999999</v>
      </c>
      <c r="T30" s="3">
        <v>0</v>
      </c>
      <c r="U30" s="582">
        <v>71552.199550000005</v>
      </c>
      <c r="V30" s="582">
        <v>32392.468519999999</v>
      </c>
      <c r="W30" s="3">
        <v>22.405999999999999</v>
      </c>
      <c r="X30" s="172"/>
      <c r="Y30" s="147"/>
      <c r="Z30" s="221"/>
    </row>
    <row r="31" spans="1:26" s="152" customFormat="1" ht="15" customHeight="1" x14ac:dyDescent="0.25">
      <c r="A31" s="116">
        <v>22</v>
      </c>
      <c r="B31" s="169"/>
      <c r="C31" s="224"/>
      <c r="D31" s="586" t="s">
        <v>984</v>
      </c>
      <c r="E31" s="586" t="s">
        <v>985</v>
      </c>
      <c r="F31" s="589" t="s">
        <v>961</v>
      </c>
      <c r="G31" s="581">
        <v>5</v>
      </c>
      <c r="H31" s="581">
        <v>26386.072520000002</v>
      </c>
      <c r="I31" s="172"/>
      <c r="J31" s="172"/>
      <c r="K31" s="172"/>
      <c r="L31" s="172"/>
      <c r="M31" s="169"/>
      <c r="N31" s="169"/>
      <c r="O31" s="169"/>
      <c r="P31" s="3">
        <v>5</v>
      </c>
      <c r="Q31" s="3">
        <v>19034.453890000001</v>
      </c>
      <c r="R31" s="3">
        <v>7351.618629999999</v>
      </c>
      <c r="S31" s="3">
        <v>5.9260000000000002</v>
      </c>
      <c r="T31" s="3">
        <v>0</v>
      </c>
      <c r="U31" s="582">
        <v>19034.453890000001</v>
      </c>
      <c r="V31" s="582">
        <v>7351.618629999999</v>
      </c>
      <c r="W31" s="3">
        <v>5.9260000000000002</v>
      </c>
      <c r="X31" s="172"/>
      <c r="Y31" s="147"/>
      <c r="Z31" s="221"/>
    </row>
    <row r="32" spans="1:26" s="152" customFormat="1" ht="15" customHeight="1" x14ac:dyDescent="0.25">
      <c r="A32" s="116">
        <v>23</v>
      </c>
      <c r="B32" s="169"/>
      <c r="C32" s="224"/>
      <c r="D32" s="586" t="s">
        <v>986</v>
      </c>
      <c r="E32" s="586" t="s">
        <v>985</v>
      </c>
      <c r="F32" s="589" t="s">
        <v>961</v>
      </c>
      <c r="G32" s="581">
        <v>4</v>
      </c>
      <c r="H32" s="581">
        <v>14153.28328</v>
      </c>
      <c r="I32" s="172"/>
      <c r="J32" s="172"/>
      <c r="K32" s="172"/>
      <c r="L32" s="172"/>
      <c r="M32" s="169"/>
      <c r="N32" s="169"/>
      <c r="O32" s="169"/>
      <c r="P32" s="3">
        <v>4</v>
      </c>
      <c r="Q32" s="3">
        <v>9994.8659900000002</v>
      </c>
      <c r="R32" s="3">
        <v>4158.4172900000003</v>
      </c>
      <c r="S32" s="3">
        <v>3.8889999999999998</v>
      </c>
      <c r="T32" s="3">
        <v>0</v>
      </c>
      <c r="U32" s="582">
        <v>9994.8659900000002</v>
      </c>
      <c r="V32" s="582">
        <v>4158.4172900000003</v>
      </c>
      <c r="W32" s="3">
        <v>3.8889999999999998</v>
      </c>
      <c r="X32" s="172"/>
      <c r="Y32" s="147"/>
      <c r="Z32" s="221"/>
    </row>
    <row r="33" spans="1:26" s="152" customFormat="1" ht="15" customHeight="1" x14ac:dyDescent="0.25">
      <c r="A33" s="116">
        <v>24</v>
      </c>
      <c r="B33" s="169"/>
      <c r="C33" s="224"/>
      <c r="D33" s="586" t="s">
        <v>987</v>
      </c>
      <c r="E33" s="586" t="s">
        <v>988</v>
      </c>
      <c r="F33" s="589" t="s">
        <v>989</v>
      </c>
      <c r="G33" s="581">
        <v>12</v>
      </c>
      <c r="H33" s="581">
        <v>170553.17332000012</v>
      </c>
      <c r="I33" s="172"/>
      <c r="J33" s="172"/>
      <c r="K33" s="172"/>
      <c r="L33" s="172"/>
      <c r="M33" s="169"/>
      <c r="N33" s="169"/>
      <c r="O33" s="169"/>
      <c r="P33" s="3">
        <v>12</v>
      </c>
      <c r="Q33" s="3">
        <v>0</v>
      </c>
      <c r="R33" s="3">
        <v>0</v>
      </c>
      <c r="S33" s="3">
        <v>0</v>
      </c>
      <c r="T33" s="3">
        <v>0</v>
      </c>
      <c r="U33" s="582">
        <v>7909.9901077286668</v>
      </c>
      <c r="V33" s="582">
        <v>3088.4386400945195</v>
      </c>
      <c r="W33" s="3">
        <v>0</v>
      </c>
      <c r="X33" s="172"/>
      <c r="Y33" s="147"/>
      <c r="Z33" s="221"/>
    </row>
    <row r="34" spans="1:26" s="152" customFormat="1" ht="15" customHeight="1" x14ac:dyDescent="0.25">
      <c r="A34" s="116">
        <v>25</v>
      </c>
      <c r="B34" s="169"/>
      <c r="C34" s="224"/>
      <c r="D34" s="195" t="s">
        <v>508</v>
      </c>
      <c r="E34" s="195"/>
      <c r="F34" s="195"/>
      <c r="G34" s="143"/>
      <c r="H34" s="143"/>
      <c r="I34" s="169"/>
      <c r="J34" s="169"/>
      <c r="K34" s="169"/>
      <c r="L34" s="169"/>
      <c r="M34" s="169"/>
      <c r="N34" s="169"/>
      <c r="O34" s="169"/>
      <c r="P34" s="451"/>
      <c r="Q34" s="451"/>
      <c r="R34" s="451"/>
      <c r="S34" s="451"/>
      <c r="T34" s="451"/>
      <c r="U34" s="571"/>
      <c r="V34" s="571"/>
      <c r="W34" s="451"/>
      <c r="X34" s="172"/>
      <c r="Y34" s="147"/>
      <c r="Z34" s="221"/>
    </row>
    <row r="35" spans="1:26" s="152" customFormat="1" ht="15" customHeight="1" x14ac:dyDescent="0.25">
      <c r="A35" s="116">
        <v>26</v>
      </c>
      <c r="B35" s="169"/>
      <c r="C35" s="224"/>
      <c r="D35" s="196"/>
      <c r="E35" s="196"/>
      <c r="F35" s="196" t="s">
        <v>334</v>
      </c>
      <c r="G35" s="455">
        <f>SUMIF($F$15:$F$33,"Standard",G$15:G$33)</f>
        <v>32963</v>
      </c>
      <c r="H35" s="455">
        <f>SUMIF($F$15:$F$33,"Standard",H$15:H$33)</f>
        <v>606009.21525000001</v>
      </c>
      <c r="I35" s="172"/>
      <c r="J35" s="172"/>
      <c r="K35" s="172"/>
      <c r="L35" s="172"/>
      <c r="M35" s="169"/>
      <c r="N35" s="169"/>
      <c r="O35" s="169"/>
      <c r="P35" s="455">
        <f t="shared" ref="P35:W35" si="0">SUMIF($F$15:$F$33,"Standard",P$15:P$33)</f>
        <v>32963</v>
      </c>
      <c r="Q35" s="455">
        <f t="shared" si="0"/>
        <v>422926.21667300008</v>
      </c>
      <c r="R35" s="455">
        <f t="shared" si="0"/>
        <v>183082.99857700002</v>
      </c>
      <c r="S35" s="455">
        <f t="shared" si="0"/>
        <v>183.98400000000001</v>
      </c>
      <c r="T35" s="455">
        <f t="shared" si="0"/>
        <v>103</v>
      </c>
      <c r="U35" s="591"/>
      <c r="V35" s="591"/>
      <c r="W35" s="455">
        <f t="shared" si="0"/>
        <v>183.98400000000001</v>
      </c>
      <c r="X35" s="172"/>
      <c r="Y35" s="147"/>
      <c r="Z35" s="221"/>
    </row>
    <row r="36" spans="1:26" s="152" customFormat="1" ht="15" customHeight="1" thickBot="1" x14ac:dyDescent="0.3">
      <c r="A36" s="116">
        <v>27</v>
      </c>
      <c r="B36" s="172"/>
      <c r="C36" s="224"/>
      <c r="D36" s="196"/>
      <c r="E36" s="196"/>
      <c r="F36" s="196" t="s">
        <v>338</v>
      </c>
      <c r="G36" s="455">
        <f>SUMIF($F$15:$F$33,"Non-standard",G$15:G$33)</f>
        <v>12</v>
      </c>
      <c r="H36" s="455">
        <f>SUMIF($F$15:$F$33,"Non-standard",H$15:H$33)</f>
        <v>170553.17332000012</v>
      </c>
      <c r="I36" s="172"/>
      <c r="J36" s="172"/>
      <c r="K36" s="172"/>
      <c r="L36" s="172"/>
      <c r="M36" s="169"/>
      <c r="N36" s="169"/>
      <c r="O36" s="169"/>
      <c r="P36" s="455">
        <f t="shared" ref="P36:W36" si="1">SUMIF($F$15:$F$33,"Non-standard",P$15:P$33)</f>
        <v>12</v>
      </c>
      <c r="Q36" s="455">
        <f t="shared" si="1"/>
        <v>0</v>
      </c>
      <c r="R36" s="455">
        <f t="shared" si="1"/>
        <v>0</v>
      </c>
      <c r="S36" s="455">
        <f t="shared" si="1"/>
        <v>0</v>
      </c>
      <c r="T36" s="455">
        <f t="shared" si="1"/>
        <v>0</v>
      </c>
      <c r="U36" s="591"/>
      <c r="V36" s="591"/>
      <c r="W36" s="455">
        <f t="shared" si="1"/>
        <v>0</v>
      </c>
      <c r="X36" s="172"/>
      <c r="Y36" s="147"/>
      <c r="Z36" s="221"/>
    </row>
    <row r="37" spans="1:26" s="152" customFormat="1" ht="15" customHeight="1" thickBot="1" x14ac:dyDescent="0.3">
      <c r="A37" s="116">
        <v>28</v>
      </c>
      <c r="B37" s="172"/>
      <c r="C37" s="224"/>
      <c r="D37" s="196"/>
      <c r="E37" s="196"/>
      <c r="F37" s="196" t="s">
        <v>337</v>
      </c>
      <c r="G37" s="464">
        <f>SUM(G35:G36)</f>
        <v>32975</v>
      </c>
      <c r="H37" s="464">
        <f>SUM(H35:H36)</f>
        <v>776562.38857000018</v>
      </c>
      <c r="I37" s="172"/>
      <c r="J37" s="172"/>
      <c r="K37" s="172"/>
      <c r="L37" s="172"/>
      <c r="M37" s="169"/>
      <c r="N37" s="169"/>
      <c r="O37" s="169"/>
      <c r="P37" s="464">
        <f t="shared" ref="P37:W37" si="2">SUM(P35:P36)</f>
        <v>32975</v>
      </c>
      <c r="Q37" s="464">
        <f t="shared" si="2"/>
        <v>422926.21667300008</v>
      </c>
      <c r="R37" s="464">
        <f t="shared" si="2"/>
        <v>183082.99857700002</v>
      </c>
      <c r="S37" s="464">
        <f t="shared" si="2"/>
        <v>183.98400000000001</v>
      </c>
      <c r="T37" s="464">
        <f t="shared" si="2"/>
        <v>103</v>
      </c>
      <c r="U37" s="464"/>
      <c r="V37" s="464"/>
      <c r="W37" s="464">
        <f t="shared" si="2"/>
        <v>183.98400000000001</v>
      </c>
      <c r="X37" s="172"/>
      <c r="Y37" s="147"/>
      <c r="Z37" s="214" t="s">
        <v>849</v>
      </c>
    </row>
    <row r="38" spans="1:26" s="152" customFormat="1" ht="17.25" customHeight="1" x14ac:dyDescent="0.25">
      <c r="A38" s="116">
        <v>29</v>
      </c>
      <c r="B38" s="150"/>
      <c r="C38" s="154"/>
      <c r="D38" s="155"/>
      <c r="E38" s="155"/>
      <c r="F38" s="155"/>
      <c r="G38" s="62"/>
      <c r="H38" s="62"/>
      <c r="I38" s="150"/>
      <c r="J38" s="150"/>
      <c r="K38" s="150"/>
      <c r="L38" s="150"/>
      <c r="M38" s="151"/>
      <c r="N38" s="151"/>
      <c r="O38" s="151"/>
      <c r="P38" s="62"/>
      <c r="Q38" s="62"/>
      <c r="R38" s="62"/>
      <c r="S38" s="62"/>
      <c r="T38" s="62"/>
      <c r="U38" s="62"/>
      <c r="V38" s="62"/>
      <c r="W38" s="62"/>
      <c r="X38" s="150"/>
      <c r="Y38" s="147"/>
      <c r="Z38" s="221"/>
    </row>
    <row r="39" spans="1:26" s="152" customFormat="1" ht="17.25" customHeight="1" x14ac:dyDescent="0.25">
      <c r="A39" s="116">
        <v>30</v>
      </c>
      <c r="B39" s="150"/>
      <c r="C39" s="154"/>
      <c r="D39" s="155"/>
      <c r="E39" s="155"/>
      <c r="F39" s="155"/>
      <c r="G39" s="62"/>
      <c r="H39" s="62"/>
      <c r="I39" s="150"/>
      <c r="J39" s="150"/>
      <c r="K39" s="150"/>
      <c r="L39" s="150"/>
      <c r="M39" s="151"/>
      <c r="N39" s="151"/>
      <c r="O39" s="151"/>
      <c r="P39" s="62"/>
      <c r="Q39" s="62"/>
      <c r="R39" s="62"/>
      <c r="S39" s="62"/>
      <c r="T39" s="62"/>
      <c r="U39" s="62"/>
      <c r="V39" s="62"/>
      <c r="W39" s="62"/>
      <c r="X39" s="150"/>
      <c r="Y39" s="147"/>
      <c r="Z39" s="221"/>
    </row>
    <row r="40" spans="1:26" s="152" customFormat="1" ht="27" customHeight="1" x14ac:dyDescent="0.3">
      <c r="A40" s="116">
        <v>31</v>
      </c>
      <c r="B40" s="172"/>
      <c r="C40" s="197" t="s">
        <v>570</v>
      </c>
      <c r="D40" s="224"/>
      <c r="E40" s="224"/>
      <c r="F40" s="224"/>
      <c r="G40" s="224"/>
      <c r="H40" s="224"/>
      <c r="I40" s="172"/>
      <c r="J40" s="172"/>
      <c r="K40" s="172"/>
      <c r="L40" s="172"/>
      <c r="M40" s="169"/>
      <c r="N40" s="118"/>
      <c r="O40" s="118"/>
      <c r="P40" s="118"/>
      <c r="Q40" s="118"/>
      <c r="R40" s="118"/>
      <c r="S40" s="118"/>
      <c r="T40" s="118"/>
      <c r="U40" s="118"/>
      <c r="V40" s="118"/>
      <c r="W40" s="118"/>
      <c r="X40" s="172"/>
      <c r="Y40" s="147"/>
      <c r="Z40" s="221"/>
    </row>
    <row r="41" spans="1:26" s="152" customFormat="1" ht="17.25" customHeight="1" x14ac:dyDescent="0.25">
      <c r="A41" s="116">
        <v>32</v>
      </c>
      <c r="B41" s="172"/>
      <c r="C41" s="224"/>
      <c r="D41" s="224"/>
      <c r="E41" s="224"/>
      <c r="F41" s="224"/>
      <c r="G41" s="224"/>
      <c r="H41" s="224"/>
      <c r="I41" s="172"/>
      <c r="J41" s="172"/>
      <c r="K41" s="172"/>
      <c r="L41" s="172"/>
      <c r="M41" s="169"/>
      <c r="N41" s="118"/>
      <c r="O41" s="118"/>
      <c r="P41" s="118"/>
      <c r="Q41" s="118"/>
      <c r="R41" s="118"/>
      <c r="S41" s="118"/>
      <c r="T41" s="118"/>
      <c r="U41" s="118"/>
      <c r="V41" s="118"/>
      <c r="W41" s="118"/>
      <c r="X41" s="172"/>
      <c r="Y41" s="147"/>
      <c r="Z41" s="221"/>
    </row>
    <row r="42" spans="1:26" s="152" customFormat="1" ht="12.75" customHeight="1" x14ac:dyDescent="0.25">
      <c r="A42" s="116">
        <v>33</v>
      </c>
      <c r="B42" s="172"/>
      <c r="C42" s="193"/>
      <c r="D42" s="226"/>
      <c r="E42" s="226"/>
      <c r="F42" s="226"/>
      <c r="G42" s="226"/>
      <c r="H42" s="226"/>
      <c r="I42" s="172"/>
      <c r="J42" s="172"/>
      <c r="K42" s="172"/>
      <c r="L42" s="172"/>
      <c r="M42" s="226"/>
      <c r="N42" s="226"/>
      <c r="O42" s="169"/>
      <c r="P42" s="168" t="s">
        <v>678</v>
      </c>
      <c r="Q42" s="172"/>
      <c r="R42" s="172"/>
      <c r="S42" s="172"/>
      <c r="T42" s="172"/>
      <c r="U42" s="172"/>
      <c r="V42" s="172"/>
      <c r="W42" s="172"/>
      <c r="X42" s="672" t="s">
        <v>564</v>
      </c>
      <c r="Y42" s="147"/>
      <c r="Z42" s="221"/>
    </row>
    <row r="43" spans="1:26" s="152" customFormat="1" ht="57.75" customHeight="1" x14ac:dyDescent="0.25">
      <c r="A43" s="116">
        <v>34</v>
      </c>
      <c r="B43" s="172"/>
      <c r="C43" s="193"/>
      <c r="D43" s="226"/>
      <c r="E43" s="226"/>
      <c r="F43" s="226"/>
      <c r="G43" s="226"/>
      <c r="H43" s="226"/>
      <c r="I43" s="172"/>
      <c r="J43" s="172"/>
      <c r="K43" s="172"/>
      <c r="L43" s="172"/>
      <c r="M43" s="169"/>
      <c r="N43" s="671" t="s">
        <v>418</v>
      </c>
      <c r="O43" s="198" t="s">
        <v>479</v>
      </c>
      <c r="P43" s="468" t="s">
        <v>1001</v>
      </c>
      <c r="Q43" s="468" t="s">
        <v>1002</v>
      </c>
      <c r="R43" s="468" t="s">
        <v>1003</v>
      </c>
      <c r="S43" s="468" t="s">
        <v>1004</v>
      </c>
      <c r="T43" s="468" t="s">
        <v>994</v>
      </c>
      <c r="U43" s="590" t="s">
        <v>1005</v>
      </c>
      <c r="V43" s="590" t="s">
        <v>1006</v>
      </c>
      <c r="W43" s="468" t="s">
        <v>1007</v>
      </c>
      <c r="X43" s="672"/>
      <c r="Y43" s="147"/>
      <c r="Z43" s="221"/>
    </row>
    <row r="44" spans="1:26" s="152" customFormat="1" ht="57.75" customHeight="1" x14ac:dyDescent="0.25">
      <c r="A44" s="116">
        <v>35</v>
      </c>
      <c r="B44" s="447"/>
      <c r="C44" s="193"/>
      <c r="D44" s="226" t="s">
        <v>446</v>
      </c>
      <c r="E44" s="448" t="s">
        <v>563</v>
      </c>
      <c r="F44" s="226" t="s">
        <v>480</v>
      </c>
      <c r="G44" s="226" t="s">
        <v>450</v>
      </c>
      <c r="H44" s="320" t="s">
        <v>737</v>
      </c>
      <c r="I44" s="172"/>
      <c r="J44" s="172"/>
      <c r="K44" s="172"/>
      <c r="L44" s="172"/>
      <c r="M44" s="226" t="s">
        <v>336</v>
      </c>
      <c r="N44" s="671"/>
      <c r="O44" s="370" t="s">
        <v>680</v>
      </c>
      <c r="P44" s="468" t="s">
        <v>1008</v>
      </c>
      <c r="Q44" s="468" t="s">
        <v>1009</v>
      </c>
      <c r="R44" s="468" t="s">
        <v>1009</v>
      </c>
      <c r="S44" s="468" t="s">
        <v>1010</v>
      </c>
      <c r="T44" s="468" t="s">
        <v>1008</v>
      </c>
      <c r="U44" s="590" t="s">
        <v>1009</v>
      </c>
      <c r="V44" s="590" t="s">
        <v>1009</v>
      </c>
      <c r="W44" s="468" t="s">
        <v>1010</v>
      </c>
      <c r="X44" s="672"/>
      <c r="Y44" s="147"/>
      <c r="Z44" s="221"/>
    </row>
    <row r="45" spans="1:26" s="152" customFormat="1" ht="15" customHeight="1" x14ac:dyDescent="0.25">
      <c r="A45" s="116">
        <v>36</v>
      </c>
      <c r="B45" s="447"/>
      <c r="C45" s="224"/>
      <c r="D45" s="226"/>
      <c r="E45" s="226"/>
      <c r="F45" s="226"/>
      <c r="G45" s="226"/>
      <c r="H45" s="226"/>
      <c r="I45" s="187"/>
      <c r="J45" s="187"/>
      <c r="K45" s="187"/>
      <c r="L45" s="187"/>
      <c r="M45" s="226"/>
      <c r="N45" s="226"/>
      <c r="O45" s="226"/>
      <c r="P45" s="226"/>
      <c r="Q45" s="226"/>
      <c r="R45" s="226"/>
      <c r="S45" s="226"/>
      <c r="T45" s="226"/>
      <c r="U45" s="226"/>
      <c r="V45" s="226"/>
      <c r="W45" s="226"/>
      <c r="X45" s="672"/>
      <c r="Y45" s="147"/>
      <c r="Z45" s="221"/>
    </row>
    <row r="46" spans="1:26" s="152" customFormat="1" ht="15" customHeight="1" x14ac:dyDescent="0.25">
      <c r="A46" s="116">
        <v>37</v>
      </c>
      <c r="B46" s="169"/>
      <c r="C46" s="224"/>
      <c r="D46" s="461" t="s">
        <v>959</v>
      </c>
      <c r="E46" s="461" t="s">
        <v>960</v>
      </c>
      <c r="F46" s="439" t="s">
        <v>961</v>
      </c>
      <c r="G46" s="469">
        <f t="shared" ref="G46:G64" si="3">SUM(P46:W46)</f>
        <v>581.77733967766619</v>
      </c>
      <c r="H46" s="343">
        <v>0</v>
      </c>
      <c r="I46" s="172"/>
      <c r="J46" s="172"/>
      <c r="K46" s="172"/>
      <c r="L46" s="172"/>
      <c r="M46" s="343">
        <v>389.5853461401461</v>
      </c>
      <c r="N46" s="343">
        <v>192.19199353752003</v>
      </c>
      <c r="O46" s="169"/>
      <c r="P46" s="343">
        <v>81.861822244175087</v>
      </c>
      <c r="Q46" s="343">
        <v>265.99300673509089</v>
      </c>
      <c r="R46" s="343">
        <v>41.730517160880147</v>
      </c>
      <c r="S46" s="343">
        <v>0</v>
      </c>
      <c r="T46" s="343">
        <v>0</v>
      </c>
      <c r="U46" s="592">
        <v>165.72343876396764</v>
      </c>
      <c r="V46" s="592">
        <v>26.468554773552409</v>
      </c>
      <c r="W46" s="343">
        <v>0</v>
      </c>
      <c r="X46" s="172"/>
      <c r="Y46" s="147"/>
      <c r="Z46" s="221"/>
    </row>
    <row r="47" spans="1:26" s="152" customFormat="1" ht="15" customHeight="1" x14ac:dyDescent="0.25">
      <c r="A47" s="116"/>
      <c r="B47" s="169"/>
      <c r="C47" s="224"/>
      <c r="D47" s="585" t="s">
        <v>962</v>
      </c>
      <c r="E47" s="585" t="s">
        <v>960</v>
      </c>
      <c r="F47" s="594" t="s">
        <v>961</v>
      </c>
      <c r="G47" s="469">
        <f t="shared" si="3"/>
        <v>3253.8235404241364</v>
      </c>
      <c r="H47" s="592">
        <v>0</v>
      </c>
      <c r="I47" s="172"/>
      <c r="J47" s="172"/>
      <c r="K47" s="172"/>
      <c r="L47" s="172"/>
      <c r="M47" s="592">
        <v>2210.1980471285196</v>
      </c>
      <c r="N47" s="592">
        <v>1043.6254932956167</v>
      </c>
      <c r="O47" s="169"/>
      <c r="P47" s="592">
        <v>469.30733358047388</v>
      </c>
      <c r="Q47" s="592">
        <v>1504.8074664818801</v>
      </c>
      <c r="R47" s="592">
        <v>236.0832470661658</v>
      </c>
      <c r="S47" s="592">
        <v>0</v>
      </c>
      <c r="T47" s="592">
        <v>0</v>
      </c>
      <c r="U47" s="592">
        <v>899.89846812960855</v>
      </c>
      <c r="V47" s="592">
        <v>143.72702516600808</v>
      </c>
      <c r="W47" s="592">
        <v>0</v>
      </c>
      <c r="X47" s="172"/>
      <c r="Y47" s="147"/>
      <c r="Z47" s="221"/>
    </row>
    <row r="48" spans="1:26" s="152" customFormat="1" ht="15" customHeight="1" x14ac:dyDescent="0.25">
      <c r="A48" s="116"/>
      <c r="B48" s="169"/>
      <c r="C48" s="224"/>
      <c r="D48" s="585" t="s">
        <v>963</v>
      </c>
      <c r="E48" s="585" t="s">
        <v>964</v>
      </c>
      <c r="F48" s="594" t="s">
        <v>961</v>
      </c>
      <c r="G48" s="469">
        <f t="shared" si="3"/>
        <v>7.2159522031286061</v>
      </c>
      <c r="H48" s="592">
        <v>0</v>
      </c>
      <c r="I48" s="172"/>
      <c r="J48" s="172"/>
      <c r="K48" s="172"/>
      <c r="L48" s="172"/>
      <c r="M48" s="592">
        <v>3.4611131772363493</v>
      </c>
      <c r="N48" s="592">
        <v>3.7548390258922568</v>
      </c>
      <c r="O48" s="169"/>
      <c r="P48" s="592">
        <v>0.72497325401840418</v>
      </c>
      <c r="Q48" s="592">
        <v>2.365779177985782</v>
      </c>
      <c r="R48" s="592">
        <v>0.37036074523216306</v>
      </c>
      <c r="S48" s="592">
        <v>0</v>
      </c>
      <c r="T48" s="592">
        <v>0</v>
      </c>
      <c r="U48" s="592">
        <v>3.244042716563444</v>
      </c>
      <c r="V48" s="592">
        <v>0.51079630932881304</v>
      </c>
      <c r="W48" s="592">
        <v>0</v>
      </c>
      <c r="X48" s="172"/>
      <c r="Y48" s="147"/>
      <c r="Z48" s="221"/>
    </row>
    <row r="49" spans="1:26" s="152" customFormat="1" ht="15" customHeight="1" x14ac:dyDescent="0.25">
      <c r="A49" s="116"/>
      <c r="B49" s="169"/>
      <c r="C49" s="224"/>
      <c r="D49" s="585" t="s">
        <v>965</v>
      </c>
      <c r="E49" s="585" t="s">
        <v>964</v>
      </c>
      <c r="F49" s="594" t="s">
        <v>961</v>
      </c>
      <c r="G49" s="469">
        <f t="shared" si="3"/>
        <v>11.455725245379647</v>
      </c>
      <c r="H49" s="592">
        <v>0</v>
      </c>
      <c r="I49" s="172"/>
      <c r="J49" s="172"/>
      <c r="K49" s="172"/>
      <c r="L49" s="172"/>
      <c r="M49" s="592">
        <v>5.9009800204734528</v>
      </c>
      <c r="N49" s="592">
        <v>5.5547452249061937</v>
      </c>
      <c r="O49" s="169"/>
      <c r="P49" s="592">
        <v>1.2703609832018059</v>
      </c>
      <c r="Q49" s="592">
        <v>4.0028649746075828</v>
      </c>
      <c r="R49" s="592">
        <v>0.62775406266406386</v>
      </c>
      <c r="S49" s="592">
        <v>0</v>
      </c>
      <c r="T49" s="592">
        <v>0</v>
      </c>
      <c r="U49" s="592">
        <v>4.8015013473421186</v>
      </c>
      <c r="V49" s="592">
        <v>0.75324387756407463</v>
      </c>
      <c r="W49" s="592">
        <v>0</v>
      </c>
      <c r="X49" s="172"/>
      <c r="Y49" s="147"/>
      <c r="Z49" s="221"/>
    </row>
    <row r="50" spans="1:26" s="152" customFormat="1" ht="15" customHeight="1" x14ac:dyDescent="0.25">
      <c r="A50" s="116"/>
      <c r="B50" s="169"/>
      <c r="C50" s="224"/>
      <c r="D50" s="585" t="s">
        <v>966</v>
      </c>
      <c r="E50" s="585" t="s">
        <v>967</v>
      </c>
      <c r="F50" s="594" t="s">
        <v>961</v>
      </c>
      <c r="G50" s="469">
        <f t="shared" si="3"/>
        <v>6683.0529568698985</v>
      </c>
      <c r="H50" s="592">
        <v>0</v>
      </c>
      <c r="I50" s="172"/>
      <c r="J50" s="172"/>
      <c r="K50" s="172"/>
      <c r="L50" s="172"/>
      <c r="M50" s="592">
        <v>5426.7902618850576</v>
      </c>
      <c r="N50" s="592">
        <v>1256.2626949848409</v>
      </c>
      <c r="O50" s="169"/>
      <c r="P50" s="592">
        <v>2461.0596189884131</v>
      </c>
      <c r="Q50" s="592">
        <v>2548.9326130642175</v>
      </c>
      <c r="R50" s="592">
        <v>416.79802983242644</v>
      </c>
      <c r="S50" s="592">
        <v>0</v>
      </c>
      <c r="T50" s="592">
        <v>0</v>
      </c>
      <c r="U50" s="592">
        <v>1083.2515484152948</v>
      </c>
      <c r="V50" s="592">
        <v>173.01114656954607</v>
      </c>
      <c r="W50" s="592">
        <v>0</v>
      </c>
      <c r="X50" s="172"/>
      <c r="Y50" s="147"/>
      <c r="Z50" s="221"/>
    </row>
    <row r="51" spans="1:26" s="152" customFormat="1" ht="15" customHeight="1" x14ac:dyDescent="0.25">
      <c r="A51" s="116"/>
      <c r="B51" s="169"/>
      <c r="C51" s="224"/>
      <c r="D51" s="585" t="s">
        <v>968</v>
      </c>
      <c r="E51" s="585" t="s">
        <v>967</v>
      </c>
      <c r="F51" s="594" t="s">
        <v>961</v>
      </c>
      <c r="G51" s="469">
        <f t="shared" si="3"/>
        <v>13931.458797808153</v>
      </c>
      <c r="H51" s="592">
        <v>0</v>
      </c>
      <c r="I51" s="172"/>
      <c r="J51" s="172"/>
      <c r="K51" s="172"/>
      <c r="L51" s="172"/>
      <c r="M51" s="592">
        <v>11359.652403275315</v>
      </c>
      <c r="N51" s="592">
        <v>2571.8063945328358</v>
      </c>
      <c r="O51" s="169"/>
      <c r="P51" s="592">
        <v>4896.7300708889152</v>
      </c>
      <c r="Q51" s="592">
        <v>5560.5595382914162</v>
      </c>
      <c r="R51" s="592">
        <v>902.36279409498434</v>
      </c>
      <c r="S51" s="592">
        <v>0</v>
      </c>
      <c r="T51" s="592">
        <v>-0.24654039259520064</v>
      </c>
      <c r="U51" s="592">
        <v>2217.8325172515774</v>
      </c>
      <c r="V51" s="592">
        <v>354.22041767385377</v>
      </c>
      <c r="W51" s="592">
        <v>0</v>
      </c>
      <c r="X51" s="172"/>
      <c r="Y51" s="147"/>
      <c r="Z51" s="221"/>
    </row>
    <row r="52" spans="1:26" s="152" customFormat="1" ht="15" customHeight="1" x14ac:dyDescent="0.25">
      <c r="A52" s="116"/>
      <c r="B52" s="169"/>
      <c r="C52" s="224"/>
      <c r="D52" s="585" t="s">
        <v>969</v>
      </c>
      <c r="E52" s="585" t="s">
        <v>970</v>
      </c>
      <c r="F52" s="594" t="s">
        <v>961</v>
      </c>
      <c r="G52" s="469">
        <f t="shared" si="3"/>
        <v>27.95943201046579</v>
      </c>
      <c r="H52" s="592">
        <v>0</v>
      </c>
      <c r="I52" s="172"/>
      <c r="J52" s="172"/>
      <c r="K52" s="172"/>
      <c r="L52" s="172"/>
      <c r="M52" s="592">
        <v>13.586975110347195</v>
      </c>
      <c r="N52" s="592">
        <v>14.372456900118594</v>
      </c>
      <c r="O52" s="169"/>
      <c r="P52" s="592">
        <v>12.285856984525045</v>
      </c>
      <c r="Q52" s="592">
        <v>1.1196710011062512</v>
      </c>
      <c r="R52" s="592">
        <v>0.18144712471589786</v>
      </c>
      <c r="S52" s="592">
        <v>0</v>
      </c>
      <c r="T52" s="592">
        <v>7.0456216402847724</v>
      </c>
      <c r="U52" s="592">
        <v>6.3176177999926795</v>
      </c>
      <c r="V52" s="592">
        <v>1.0092174598411427</v>
      </c>
      <c r="W52" s="592">
        <v>0</v>
      </c>
      <c r="X52" s="172"/>
      <c r="Y52" s="147"/>
      <c r="Z52" s="221"/>
    </row>
    <row r="53" spans="1:26" s="152" customFormat="1" ht="15" customHeight="1" x14ac:dyDescent="0.25">
      <c r="A53" s="116"/>
      <c r="B53" s="169"/>
      <c r="C53" s="224"/>
      <c r="D53" s="585" t="s">
        <v>971</v>
      </c>
      <c r="E53" s="585" t="s">
        <v>970</v>
      </c>
      <c r="F53" s="594" t="s">
        <v>961</v>
      </c>
      <c r="G53" s="469">
        <f t="shared" si="3"/>
        <v>37.116660291167214</v>
      </c>
      <c r="H53" s="592">
        <v>0</v>
      </c>
      <c r="I53" s="172"/>
      <c r="J53" s="172"/>
      <c r="K53" s="172"/>
      <c r="L53" s="172"/>
      <c r="M53" s="592">
        <v>17.162866682627808</v>
      </c>
      <c r="N53" s="592">
        <v>19.95379360853941</v>
      </c>
      <c r="O53" s="169"/>
      <c r="P53" s="592">
        <v>16.999360907893532</v>
      </c>
      <c r="Q53" s="592">
        <v>0.14057745300007185</v>
      </c>
      <c r="R53" s="592">
        <v>2.2928321734203408E-2</v>
      </c>
      <c r="S53" s="592">
        <v>0</v>
      </c>
      <c r="T53" s="592">
        <v>10.917533062507214</v>
      </c>
      <c r="U53" s="592">
        <v>7.7923395580795134</v>
      </c>
      <c r="V53" s="592">
        <v>1.2439209879526796</v>
      </c>
      <c r="W53" s="592">
        <v>0</v>
      </c>
      <c r="X53" s="172"/>
      <c r="Y53" s="147"/>
      <c r="Z53" s="221"/>
    </row>
    <row r="54" spans="1:26" s="152" customFormat="1" ht="15" customHeight="1" x14ac:dyDescent="0.25">
      <c r="A54" s="116"/>
      <c r="B54" s="169"/>
      <c r="C54" s="224"/>
      <c r="D54" s="585" t="s">
        <v>972</v>
      </c>
      <c r="E54" s="585" t="s">
        <v>973</v>
      </c>
      <c r="F54" s="594" t="s">
        <v>961</v>
      </c>
      <c r="G54" s="469">
        <f t="shared" si="3"/>
        <v>1542.4370504208819</v>
      </c>
      <c r="H54" s="592">
        <v>0</v>
      </c>
      <c r="I54" s="172"/>
      <c r="J54" s="172"/>
      <c r="K54" s="172"/>
      <c r="L54" s="172"/>
      <c r="M54" s="592">
        <v>1311.7720032534062</v>
      </c>
      <c r="N54" s="592">
        <v>230.66504716747562</v>
      </c>
      <c r="O54" s="169"/>
      <c r="P54" s="592">
        <v>836.15740882670491</v>
      </c>
      <c r="Q54" s="592">
        <v>409.20857458010062</v>
      </c>
      <c r="R54" s="592">
        <v>66.406019846600742</v>
      </c>
      <c r="S54" s="592">
        <v>0</v>
      </c>
      <c r="T54" s="592">
        <v>0</v>
      </c>
      <c r="U54" s="592">
        <v>198.89850743003478</v>
      </c>
      <c r="V54" s="592">
        <v>31.766539737440823</v>
      </c>
      <c r="W54" s="592">
        <v>0</v>
      </c>
      <c r="X54" s="172"/>
      <c r="Y54" s="147"/>
      <c r="Z54" s="221"/>
    </row>
    <row r="55" spans="1:26" s="152" customFormat="1" ht="15" customHeight="1" x14ac:dyDescent="0.25">
      <c r="A55" s="116"/>
      <c r="B55" s="169"/>
      <c r="C55" s="224"/>
      <c r="D55" s="585" t="s">
        <v>974</v>
      </c>
      <c r="E55" s="585" t="s">
        <v>973</v>
      </c>
      <c r="F55" s="594" t="s">
        <v>961</v>
      </c>
      <c r="G55" s="469">
        <f t="shared" si="3"/>
        <v>2248.4772764657491</v>
      </c>
      <c r="H55" s="592">
        <v>0</v>
      </c>
      <c r="I55" s="172"/>
      <c r="J55" s="172"/>
      <c r="K55" s="172"/>
      <c r="L55" s="172"/>
      <c r="M55" s="592">
        <v>1714.8797579467223</v>
      </c>
      <c r="N55" s="592">
        <v>533.59751851902672</v>
      </c>
      <c r="O55" s="169"/>
      <c r="P55" s="592">
        <v>916.71376455686527</v>
      </c>
      <c r="Q55" s="592">
        <v>686.72463146071595</v>
      </c>
      <c r="R55" s="592">
        <v>111.44136192914112</v>
      </c>
      <c r="S55" s="592">
        <v>0</v>
      </c>
      <c r="T55" s="592">
        <v>0</v>
      </c>
      <c r="U55" s="592">
        <v>460.11099832874385</v>
      </c>
      <c r="V55" s="592">
        <v>73.486520190282889</v>
      </c>
      <c r="W55" s="592">
        <v>0</v>
      </c>
      <c r="X55" s="172"/>
      <c r="Y55" s="147"/>
      <c r="Z55" s="221"/>
    </row>
    <row r="56" spans="1:26" s="152" customFormat="1" ht="15" customHeight="1" x14ac:dyDescent="0.25">
      <c r="A56" s="116">
        <v>38</v>
      </c>
      <c r="B56" s="169"/>
      <c r="C56" s="224"/>
      <c r="D56" s="461" t="s">
        <v>975</v>
      </c>
      <c r="E56" s="461" t="s">
        <v>976</v>
      </c>
      <c r="F56" s="439" t="s">
        <v>961</v>
      </c>
      <c r="G56" s="469">
        <f t="shared" si="3"/>
        <v>51.906185959144601</v>
      </c>
      <c r="H56" s="343">
        <v>0</v>
      </c>
      <c r="I56" s="172"/>
      <c r="J56" s="172"/>
      <c r="K56" s="172"/>
      <c r="L56" s="172"/>
      <c r="M56" s="343">
        <v>37.941633923776088</v>
      </c>
      <c r="N56" s="343">
        <v>13.964552035368515</v>
      </c>
      <c r="O56" s="169"/>
      <c r="P56" s="343">
        <v>23.789871140730124</v>
      </c>
      <c r="Q56" s="343">
        <v>12.175803559168696</v>
      </c>
      <c r="R56" s="343">
        <v>1.9759592238772665</v>
      </c>
      <c r="S56" s="343">
        <v>0</v>
      </c>
      <c r="T56" s="343">
        <v>3.317873500219763</v>
      </c>
      <c r="U56" s="592">
        <v>9.1801146863901568</v>
      </c>
      <c r="V56" s="592">
        <v>1.4665638487585955</v>
      </c>
      <c r="W56" s="343">
        <v>0</v>
      </c>
      <c r="X56" s="172"/>
      <c r="Y56" s="147"/>
      <c r="Z56" s="221"/>
    </row>
    <row r="57" spans="1:26" s="152" customFormat="1" ht="15" customHeight="1" x14ac:dyDescent="0.25">
      <c r="A57" s="116">
        <v>39</v>
      </c>
      <c r="B57" s="169"/>
      <c r="C57" s="224"/>
      <c r="D57" s="461" t="s">
        <v>977</v>
      </c>
      <c r="E57" s="461" t="s">
        <v>976</v>
      </c>
      <c r="F57" s="439" t="s">
        <v>961</v>
      </c>
      <c r="G57" s="469">
        <f t="shared" si="3"/>
        <v>35.603736788987234</v>
      </c>
      <c r="H57" s="343">
        <v>0</v>
      </c>
      <c r="I57" s="172"/>
      <c r="J57" s="172"/>
      <c r="K57" s="172"/>
      <c r="L57" s="172"/>
      <c r="M57" s="343">
        <v>27.250078869032563</v>
      </c>
      <c r="N57" s="343">
        <v>8.3536579199546779</v>
      </c>
      <c r="O57" s="169"/>
      <c r="P57" s="343">
        <v>18.303778313854064</v>
      </c>
      <c r="Q57" s="343">
        <v>7.697119554743689</v>
      </c>
      <c r="R57" s="343">
        <v>1.2491810004348107</v>
      </c>
      <c r="S57" s="343">
        <v>0</v>
      </c>
      <c r="T57" s="343">
        <v>3.3701309579838199</v>
      </c>
      <c r="U57" s="592">
        <v>4.2970499366340134</v>
      </c>
      <c r="V57" s="592">
        <v>0.68647702533684518</v>
      </c>
      <c r="W57" s="343">
        <v>0</v>
      </c>
      <c r="X57" s="172"/>
      <c r="Y57" s="147"/>
      <c r="Z57" s="221"/>
    </row>
    <row r="58" spans="1:26" s="152" customFormat="1" ht="15" customHeight="1" x14ac:dyDescent="0.25">
      <c r="A58" s="116">
        <v>40</v>
      </c>
      <c r="B58" s="169"/>
      <c r="C58" s="224"/>
      <c r="D58" s="461" t="s">
        <v>978</v>
      </c>
      <c r="E58" s="461" t="s">
        <v>979</v>
      </c>
      <c r="F58" s="439" t="s">
        <v>961</v>
      </c>
      <c r="G58" s="469">
        <f t="shared" si="3"/>
        <v>13867.95988650945</v>
      </c>
      <c r="H58" s="343">
        <v>0</v>
      </c>
      <c r="I58" s="172"/>
      <c r="J58" s="172"/>
      <c r="K58" s="172"/>
      <c r="L58" s="172"/>
      <c r="M58" s="343">
        <v>10610.287770868239</v>
      </c>
      <c r="N58" s="343">
        <v>3257.6721156412123</v>
      </c>
      <c r="O58" s="169"/>
      <c r="P58" s="343">
        <v>698.79836438202688</v>
      </c>
      <c r="Q58" s="343">
        <v>3990.6785086292502</v>
      </c>
      <c r="R58" s="343">
        <v>655.51607368339648</v>
      </c>
      <c r="S58" s="343">
        <v>5265.2948241735658</v>
      </c>
      <c r="T58" s="343">
        <v>0</v>
      </c>
      <c r="U58" s="592">
        <v>1968.5698815960031</v>
      </c>
      <c r="V58" s="592">
        <v>319.74711735463404</v>
      </c>
      <c r="W58" s="343">
        <v>969.35511669057473</v>
      </c>
      <c r="X58" s="172"/>
      <c r="Y58" s="147"/>
      <c r="Z58" s="221"/>
    </row>
    <row r="59" spans="1:26" s="152" customFormat="1" ht="15" customHeight="1" x14ac:dyDescent="0.25">
      <c r="A59" s="116">
        <v>41</v>
      </c>
      <c r="B59" s="169"/>
      <c r="C59" s="224"/>
      <c r="D59" s="461" t="s">
        <v>980</v>
      </c>
      <c r="E59" s="461" t="s">
        <v>979</v>
      </c>
      <c r="F59" s="439" t="s">
        <v>961</v>
      </c>
      <c r="G59" s="469">
        <f t="shared" si="3"/>
        <v>3853.8601429195633</v>
      </c>
      <c r="H59" s="343">
        <v>0</v>
      </c>
      <c r="I59" s="172"/>
      <c r="J59" s="172"/>
      <c r="K59" s="172"/>
      <c r="L59" s="172"/>
      <c r="M59" s="343">
        <v>2539.293827386291</v>
      </c>
      <c r="N59" s="343">
        <v>1314.5663155332718</v>
      </c>
      <c r="O59" s="169"/>
      <c r="P59" s="343">
        <v>135.7293540558853</v>
      </c>
      <c r="Q59" s="343">
        <v>1107.7202522574141</v>
      </c>
      <c r="R59" s="343">
        <v>198.48809387856289</v>
      </c>
      <c r="S59" s="343">
        <v>1097.3561271944286</v>
      </c>
      <c r="T59" s="343">
        <v>0</v>
      </c>
      <c r="U59" s="592">
        <v>733.4859599199923</v>
      </c>
      <c r="V59" s="592">
        <v>127.42195323910734</v>
      </c>
      <c r="W59" s="343">
        <v>453.65840237417228</v>
      </c>
      <c r="X59" s="172"/>
      <c r="Y59" s="147"/>
      <c r="Z59" s="221"/>
    </row>
    <row r="60" spans="1:26" s="152" customFormat="1" ht="15" customHeight="1" x14ac:dyDescent="0.25">
      <c r="A60" s="116">
        <v>42</v>
      </c>
      <c r="B60" s="169"/>
      <c r="C60" s="224"/>
      <c r="D60" s="461" t="s">
        <v>981</v>
      </c>
      <c r="E60" s="461" t="s">
        <v>982</v>
      </c>
      <c r="F60" s="439" t="s">
        <v>961</v>
      </c>
      <c r="G60" s="469">
        <f t="shared" si="3"/>
        <v>1650.6901372821274</v>
      </c>
      <c r="H60" s="343">
        <v>0</v>
      </c>
      <c r="I60" s="172"/>
      <c r="J60" s="172"/>
      <c r="K60" s="172"/>
      <c r="L60" s="172"/>
      <c r="M60" s="343">
        <v>1140.9540194474462</v>
      </c>
      <c r="N60" s="343">
        <v>509.73611783468141</v>
      </c>
      <c r="O60" s="226"/>
      <c r="P60" s="343">
        <v>13.309321274283269</v>
      </c>
      <c r="Q60" s="343">
        <v>254.2151920475155</v>
      </c>
      <c r="R60" s="343">
        <v>46.325375247452904</v>
      </c>
      <c r="S60" s="343">
        <v>827.10413087819461</v>
      </c>
      <c r="T60" s="343">
        <v>0</v>
      </c>
      <c r="U60" s="592">
        <v>113.74046493682302</v>
      </c>
      <c r="V60" s="592">
        <v>20.145556782663419</v>
      </c>
      <c r="W60" s="343">
        <v>375.85009611519496</v>
      </c>
      <c r="X60" s="172"/>
      <c r="Y60" s="147"/>
      <c r="Z60" s="221"/>
    </row>
    <row r="61" spans="1:26" s="152" customFormat="1" ht="15" customHeight="1" x14ac:dyDescent="0.25">
      <c r="A61" s="116">
        <v>43</v>
      </c>
      <c r="B61" s="169"/>
      <c r="C61" s="224"/>
      <c r="D61" s="461" t="s">
        <v>983</v>
      </c>
      <c r="E61" s="461" t="s">
        <v>982</v>
      </c>
      <c r="F61" s="439" t="s">
        <v>961</v>
      </c>
      <c r="G61" s="469">
        <f t="shared" si="3"/>
        <v>4519.6319320797229</v>
      </c>
      <c r="H61" s="343">
        <v>0</v>
      </c>
      <c r="I61" s="172"/>
      <c r="J61" s="172"/>
      <c r="K61" s="172"/>
      <c r="L61" s="172"/>
      <c r="M61" s="343">
        <v>2838.723296319044</v>
      </c>
      <c r="N61" s="343">
        <v>1680.9086357606786</v>
      </c>
      <c r="O61" s="169"/>
      <c r="P61" s="343">
        <v>29.567714978963942</v>
      </c>
      <c r="Q61" s="343">
        <v>806.75712555474888</v>
      </c>
      <c r="R61" s="343">
        <v>156.16270295159026</v>
      </c>
      <c r="S61" s="343">
        <v>1846.2357528337409</v>
      </c>
      <c r="T61" s="343">
        <v>0</v>
      </c>
      <c r="U61" s="592">
        <v>478.22648405401861</v>
      </c>
      <c r="V61" s="592">
        <v>92.635380072196043</v>
      </c>
      <c r="W61" s="343">
        <v>1110.046771634464</v>
      </c>
      <c r="X61" s="172"/>
      <c r="Y61" s="147"/>
      <c r="Z61" s="221"/>
    </row>
    <row r="62" spans="1:26" s="152" customFormat="1" ht="15" customHeight="1" x14ac:dyDescent="0.25">
      <c r="A62" s="116">
        <v>44</v>
      </c>
      <c r="B62" s="169"/>
      <c r="C62" s="224"/>
      <c r="D62" s="461" t="s">
        <v>984</v>
      </c>
      <c r="E62" s="461" t="s">
        <v>985</v>
      </c>
      <c r="F62" s="439" t="s">
        <v>961</v>
      </c>
      <c r="G62" s="469">
        <f t="shared" si="3"/>
        <v>1398.3009672881262</v>
      </c>
      <c r="H62" s="343">
        <v>0</v>
      </c>
      <c r="I62" s="172"/>
      <c r="J62" s="172"/>
      <c r="K62" s="172"/>
      <c r="L62" s="172"/>
      <c r="M62" s="343">
        <v>940.5944132359723</v>
      </c>
      <c r="N62" s="343">
        <v>457.70655405215393</v>
      </c>
      <c r="O62" s="169"/>
      <c r="P62" s="343">
        <v>2.0578749333586721</v>
      </c>
      <c r="Q62" s="343">
        <v>320.55701450631898</v>
      </c>
      <c r="R62" s="343">
        <v>52.698766056526978</v>
      </c>
      <c r="S62" s="343">
        <v>565.28075773976764</v>
      </c>
      <c r="T62" s="343">
        <v>0</v>
      </c>
      <c r="U62" s="592">
        <v>159.24117197342846</v>
      </c>
      <c r="V62" s="592">
        <v>26.252256406716601</v>
      </c>
      <c r="W62" s="343">
        <v>272.21312567200886</v>
      </c>
      <c r="X62" s="172"/>
      <c r="Y62" s="147"/>
      <c r="Z62" s="221"/>
    </row>
    <row r="63" spans="1:26" s="152" customFormat="1" ht="15" customHeight="1" x14ac:dyDescent="0.25">
      <c r="A63" s="116">
        <v>45</v>
      </c>
      <c r="B63" s="169"/>
      <c r="C63" s="224"/>
      <c r="D63" s="461" t="s">
        <v>986</v>
      </c>
      <c r="E63" s="461" t="s">
        <v>985</v>
      </c>
      <c r="F63" s="439" t="s">
        <v>961</v>
      </c>
      <c r="G63" s="469">
        <f t="shared" si="3"/>
        <v>764.43320677964641</v>
      </c>
      <c r="H63" s="343">
        <v>0</v>
      </c>
      <c r="I63" s="172"/>
      <c r="J63" s="172"/>
      <c r="K63" s="172"/>
      <c r="L63" s="172"/>
      <c r="M63" s="343">
        <v>471.18680076120717</v>
      </c>
      <c r="N63" s="343">
        <v>293.24640601843919</v>
      </c>
      <c r="O63" s="169"/>
      <c r="P63" s="343">
        <v>1.2053261811246052</v>
      </c>
      <c r="Q63" s="343">
        <v>156.79925421173292</v>
      </c>
      <c r="R63" s="343">
        <v>28.889397341593213</v>
      </c>
      <c r="S63" s="343">
        <v>284.29282302675642</v>
      </c>
      <c r="T63" s="343">
        <v>0</v>
      </c>
      <c r="U63" s="592">
        <v>97.85042692590423</v>
      </c>
      <c r="V63" s="592">
        <v>17.62560913517018</v>
      </c>
      <c r="W63" s="343">
        <v>177.77036995736478</v>
      </c>
      <c r="X63" s="172"/>
      <c r="Y63" s="147"/>
      <c r="Z63" s="221"/>
    </row>
    <row r="64" spans="1:26" s="152" customFormat="1" ht="15" customHeight="1" x14ac:dyDescent="0.25">
      <c r="A64" s="116">
        <v>46</v>
      </c>
      <c r="B64" s="169"/>
      <c r="C64" s="224"/>
      <c r="D64" s="461" t="s">
        <v>987</v>
      </c>
      <c r="E64" s="461" t="s">
        <v>988</v>
      </c>
      <c r="F64" s="439" t="s">
        <v>989</v>
      </c>
      <c r="G64" s="469">
        <f t="shared" si="3"/>
        <v>6013.6039329766008</v>
      </c>
      <c r="H64" s="343">
        <v>0</v>
      </c>
      <c r="I64" s="172"/>
      <c r="J64" s="172"/>
      <c r="K64" s="172"/>
      <c r="L64" s="172"/>
      <c r="M64" s="343">
        <v>3204.5658022522948</v>
      </c>
      <c r="N64" s="343">
        <v>2809.038130724306</v>
      </c>
      <c r="O64" s="169"/>
      <c r="P64" s="343">
        <v>3204.5658022522948</v>
      </c>
      <c r="Q64" s="343">
        <v>0</v>
      </c>
      <c r="R64" s="343">
        <v>0</v>
      </c>
      <c r="S64" s="343">
        <v>0</v>
      </c>
      <c r="T64" s="343">
        <v>2809.038130724306</v>
      </c>
      <c r="U64" s="592">
        <v>0</v>
      </c>
      <c r="V64" s="592">
        <v>0</v>
      </c>
      <c r="W64" s="343">
        <v>0</v>
      </c>
      <c r="X64" s="172"/>
      <c r="Y64" s="147"/>
      <c r="Z64" s="221"/>
    </row>
    <row r="65" spans="1:26" s="152" customFormat="1" ht="15" customHeight="1" x14ac:dyDescent="0.25">
      <c r="A65" s="116">
        <v>47</v>
      </c>
      <c r="B65" s="169"/>
      <c r="C65" s="224"/>
      <c r="D65" s="195" t="s">
        <v>508</v>
      </c>
      <c r="E65" s="195"/>
      <c r="F65" s="195"/>
      <c r="G65" s="143"/>
      <c r="H65" s="143"/>
      <c r="I65" s="169"/>
      <c r="J65" s="169"/>
      <c r="K65" s="169"/>
      <c r="L65" s="169"/>
      <c r="M65" s="143"/>
      <c r="N65" s="143"/>
      <c r="O65" s="169"/>
      <c r="P65" s="451"/>
      <c r="Q65" s="451"/>
      <c r="R65" s="451"/>
      <c r="S65" s="451"/>
      <c r="T65" s="451"/>
      <c r="U65" s="571"/>
      <c r="V65" s="571"/>
      <c r="W65" s="451"/>
      <c r="X65" s="172"/>
      <c r="Y65" s="147"/>
      <c r="Z65" s="221"/>
    </row>
    <row r="66" spans="1:26" s="152" customFormat="1" ht="15" customHeight="1" x14ac:dyDescent="0.25">
      <c r="A66" s="116">
        <v>48</v>
      </c>
      <c r="B66" s="169"/>
      <c r="C66" s="224"/>
      <c r="D66" s="196"/>
      <c r="E66" s="196"/>
      <c r="F66" s="196" t="s">
        <v>334</v>
      </c>
      <c r="G66" s="469">
        <f>SUMIF($F$46:$F$64,"Standard",G$46:G$64)</f>
        <v>54467.160927023397</v>
      </c>
      <c r="H66" s="469">
        <f>SUMIF($F$46:$F$64,"Standard",H$46:H$64)</f>
        <v>0</v>
      </c>
      <c r="I66" s="172"/>
      <c r="J66" s="172"/>
      <c r="K66" s="172"/>
      <c r="L66" s="172"/>
      <c r="M66" s="469">
        <f>SUMIF($F$46:$F$64,"Standard",M$46:M$64)</f>
        <v>41059.221595430863</v>
      </c>
      <c r="N66" s="469">
        <f>SUMIF($F$46:$F$64,"Standard",N$46:N$64)</f>
        <v>13407.939331592534</v>
      </c>
      <c r="O66" s="169"/>
      <c r="P66" s="469">
        <f t="shared" ref="P66:W66" si="4">SUMIF($F$46:$F$64,"Standard",P$46:P$64)</f>
        <v>10615.872176475412</v>
      </c>
      <c r="Q66" s="469">
        <f t="shared" si="4"/>
        <v>17640.45499354101</v>
      </c>
      <c r="R66" s="469">
        <f t="shared" si="4"/>
        <v>2917.3300095679797</v>
      </c>
      <c r="S66" s="469">
        <f t="shared" si="4"/>
        <v>9885.5644158464547</v>
      </c>
      <c r="T66" s="469">
        <f t="shared" si="4"/>
        <v>24.404618768400368</v>
      </c>
      <c r="U66" s="593"/>
      <c r="V66" s="593"/>
      <c r="W66" s="469">
        <f t="shared" si="4"/>
        <v>3358.8938824437796</v>
      </c>
      <c r="X66" s="172"/>
      <c r="Y66" s="147"/>
      <c r="Z66" s="221"/>
    </row>
    <row r="67" spans="1:26" s="152" customFormat="1" ht="15" customHeight="1" thickBot="1" x14ac:dyDescent="0.3">
      <c r="A67" s="116">
        <v>49</v>
      </c>
      <c r="B67" s="172"/>
      <c r="C67" s="224"/>
      <c r="D67" s="196"/>
      <c r="E67" s="196"/>
      <c r="F67" s="196" t="s">
        <v>338</v>
      </c>
      <c r="G67" s="469">
        <f>SUMIF($F$46:$F$64,"Non-standard",G$46:G$64)</f>
        <v>6013.6039329766008</v>
      </c>
      <c r="H67" s="469">
        <f>SUMIF($F$46:$F$64,"Non-standard",H$46:H$64)</f>
        <v>0</v>
      </c>
      <c r="I67" s="172"/>
      <c r="J67" s="172"/>
      <c r="K67" s="172"/>
      <c r="L67" s="172"/>
      <c r="M67" s="469">
        <f>SUMIF($F$46:$F$64,"Non-standard",M$46:M$64)</f>
        <v>3204.5658022522948</v>
      </c>
      <c r="N67" s="469">
        <f>SUMIF($F$46:$F$64,"Non-standard",N$46:N$64)</f>
        <v>2809.038130724306</v>
      </c>
      <c r="O67" s="226"/>
      <c r="P67" s="469">
        <f t="shared" ref="P67:W67" si="5">SUMIF($F$46:$F$64,"Non-standard",P$46:P$64)</f>
        <v>3204.5658022522948</v>
      </c>
      <c r="Q67" s="469">
        <f t="shared" si="5"/>
        <v>0</v>
      </c>
      <c r="R67" s="469">
        <f t="shared" si="5"/>
        <v>0</v>
      </c>
      <c r="S67" s="469">
        <f t="shared" si="5"/>
        <v>0</v>
      </c>
      <c r="T67" s="469">
        <f t="shared" si="5"/>
        <v>2809.038130724306</v>
      </c>
      <c r="U67" s="593"/>
      <c r="V67" s="593"/>
      <c r="W67" s="469">
        <f t="shared" si="5"/>
        <v>0</v>
      </c>
      <c r="X67" s="172"/>
      <c r="Y67" s="147"/>
      <c r="Z67" s="221"/>
    </row>
    <row r="68" spans="1:26" s="152" customFormat="1" ht="15" customHeight="1" thickBot="1" x14ac:dyDescent="0.3">
      <c r="A68" s="116">
        <v>50</v>
      </c>
      <c r="B68" s="172"/>
      <c r="C68" s="224"/>
      <c r="D68" s="196"/>
      <c r="E68" s="196"/>
      <c r="F68" s="196" t="s">
        <v>337</v>
      </c>
      <c r="G68" s="470">
        <f>SUM(G66:G67)</f>
        <v>60480.764859999996</v>
      </c>
      <c r="H68" s="470">
        <f>SUM(H66:H67)</f>
        <v>0</v>
      </c>
      <c r="I68" s="172"/>
      <c r="J68" s="172"/>
      <c r="K68" s="172"/>
      <c r="L68" s="172"/>
      <c r="M68" s="470">
        <f t="shared" ref="M68:W68" si="6">SUM(M66:M67)</f>
        <v>44263.787397683162</v>
      </c>
      <c r="N68" s="470">
        <f t="shared" si="6"/>
        <v>16216.97746231684</v>
      </c>
      <c r="O68" s="169"/>
      <c r="P68" s="470">
        <f t="shared" si="6"/>
        <v>13820.437978727707</v>
      </c>
      <c r="Q68" s="470">
        <f t="shared" si="6"/>
        <v>17640.45499354101</v>
      </c>
      <c r="R68" s="470">
        <f t="shared" si="6"/>
        <v>2917.3300095679797</v>
      </c>
      <c r="S68" s="470">
        <f t="shared" si="6"/>
        <v>9885.5644158464547</v>
      </c>
      <c r="T68" s="470">
        <f t="shared" si="6"/>
        <v>2833.4427494927063</v>
      </c>
      <c r="U68" s="470"/>
      <c r="V68" s="470"/>
      <c r="W68" s="470">
        <f t="shared" si="6"/>
        <v>3358.8938824437796</v>
      </c>
      <c r="X68" s="172"/>
      <c r="Y68" s="147"/>
      <c r="Z68" s="214" t="s">
        <v>850</v>
      </c>
    </row>
    <row r="69" spans="1:26" s="152" customFormat="1" ht="17.25" customHeight="1" thickBot="1" x14ac:dyDescent="0.3">
      <c r="A69" s="116">
        <v>51</v>
      </c>
      <c r="B69" s="172"/>
      <c r="C69" s="224"/>
      <c r="D69" s="196"/>
      <c r="E69" s="196"/>
      <c r="F69" s="196"/>
      <c r="G69" s="196"/>
      <c r="H69" s="196"/>
      <c r="I69" s="172"/>
      <c r="J69" s="172"/>
      <c r="K69" s="172"/>
      <c r="L69" s="172"/>
      <c r="M69" s="196"/>
      <c r="N69" s="196"/>
      <c r="O69" s="196"/>
      <c r="P69" s="196"/>
      <c r="Q69" s="196"/>
      <c r="R69" s="196"/>
      <c r="S69" s="196"/>
      <c r="T69" s="196"/>
      <c r="U69" s="196"/>
      <c r="V69" s="196"/>
      <c r="W69" s="196"/>
      <c r="X69" s="172"/>
      <c r="Y69" s="147"/>
      <c r="Z69" s="221"/>
    </row>
    <row r="70" spans="1:26" s="152" customFormat="1" ht="17.25" customHeight="1" thickBot="1" x14ac:dyDescent="0.35">
      <c r="A70" s="116">
        <v>52</v>
      </c>
      <c r="B70" s="172"/>
      <c r="C70" s="197" t="s">
        <v>447</v>
      </c>
      <c r="D70" s="196"/>
      <c r="E70" s="196"/>
      <c r="F70" s="196"/>
      <c r="G70" s="196"/>
      <c r="H70" s="196"/>
      <c r="I70" s="172"/>
      <c r="J70" s="172"/>
      <c r="K70" s="172"/>
      <c r="L70" s="172"/>
      <c r="M70" s="196" t="s">
        <v>481</v>
      </c>
      <c r="N70" s="471" t="str">
        <f>IF(M68+N68=G68,"OK","Error")</f>
        <v>OK</v>
      </c>
      <c r="O70" s="196"/>
      <c r="P70" s="196"/>
      <c r="Q70" s="196"/>
      <c r="R70" s="196"/>
      <c r="S70" s="196"/>
      <c r="T70" s="196"/>
      <c r="U70" s="196"/>
      <c r="V70" s="196"/>
      <c r="W70" s="196"/>
      <c r="X70" s="172"/>
      <c r="Y70" s="147"/>
      <c r="Z70" s="221"/>
    </row>
    <row r="71" spans="1:26" s="152" customFormat="1" ht="15" customHeight="1" x14ac:dyDescent="0.25">
      <c r="A71" s="116">
        <v>53</v>
      </c>
      <c r="B71" s="172"/>
      <c r="C71" s="196"/>
      <c r="D71" s="199" t="s">
        <v>339</v>
      </c>
      <c r="E71" s="196"/>
      <c r="F71" s="3">
        <f>G33</f>
        <v>12</v>
      </c>
      <c r="G71" s="196"/>
      <c r="H71" s="196"/>
      <c r="I71" s="172"/>
      <c r="J71" s="172"/>
      <c r="K71" s="172"/>
      <c r="L71" s="172"/>
      <c r="M71" s="196"/>
      <c r="N71" s="196"/>
      <c r="O71" s="196"/>
      <c r="P71" s="196"/>
      <c r="Q71" s="196"/>
      <c r="R71" s="196"/>
      <c r="S71" s="196"/>
      <c r="T71" s="196"/>
      <c r="U71" s="196"/>
      <c r="V71" s="196"/>
      <c r="W71" s="196"/>
      <c r="X71" s="172"/>
      <c r="Y71" s="147"/>
      <c r="Z71" s="221"/>
    </row>
    <row r="72" spans="1:26" s="152" customFormat="1" ht="18" customHeight="1" x14ac:dyDescent="0.25">
      <c r="A72" s="156"/>
      <c r="B72" s="157"/>
      <c r="C72" s="158"/>
      <c r="D72" s="157"/>
      <c r="E72" s="157"/>
      <c r="F72" s="157"/>
      <c r="G72" s="157"/>
      <c r="H72" s="157"/>
      <c r="I72" s="157"/>
      <c r="J72" s="157"/>
      <c r="K72" s="157"/>
      <c r="L72" s="157"/>
      <c r="M72" s="157"/>
      <c r="N72" s="157"/>
      <c r="O72" s="157"/>
      <c r="P72" s="157"/>
      <c r="Q72" s="157"/>
      <c r="R72" s="157"/>
      <c r="S72" s="157"/>
      <c r="T72" s="157"/>
      <c r="U72" s="157"/>
      <c r="V72" s="157"/>
      <c r="W72" s="157"/>
      <c r="X72" s="157"/>
      <c r="Y72" s="148"/>
      <c r="Z72" s="221"/>
    </row>
  </sheetData>
  <sheetProtection formatRows="0" insertColumns="0" insertRows="0"/>
  <customSheetViews>
    <customSheetView guid="{21F2E024-704F-4E93-AC63-213755ECFFE0}" scale="70" showPageBreaks="1" showGridLines="0" fitToPage="1" printArea="1" view="pageBreakPreview" topLeftCell="F4">
      <selection activeCell="O46" sqref="O46"/>
      <pageMargins left="0.70866141732283472" right="0.70866141732283472" top="0.74803149606299213" bottom="0.74803149606299213" header="0.31496062992125984" footer="0.31496062992125984"/>
      <printOptions horizontalCentered="1" verticalCentered="1"/>
      <pageSetup paperSize="9" scale="51" orientation="landscape" r:id="rId1"/>
      <headerFooter alignWithMargins="0">
        <oddHeader>&amp;C&amp;"Arial"&amp;10 Commerce Commission Information Disclosure Template</oddHeader>
        <oddFooter>&amp;L&amp;"Arial"&amp;10 &amp;F&amp;C&amp;"Arial"&amp;10 &amp;A&amp;R&amp;"Arial"&amp;10 &amp;P</oddFooter>
      </headerFooter>
    </customSheetView>
  </customSheetViews>
  <mergeCells count="10">
    <mergeCell ref="T2:X2"/>
    <mergeCell ref="T3:X3"/>
    <mergeCell ref="T4:X4"/>
    <mergeCell ref="N43:N44"/>
    <mergeCell ref="X11:X14"/>
    <mergeCell ref="X42:X45"/>
    <mergeCell ref="N4:Q4"/>
    <mergeCell ref="A6:S6"/>
    <mergeCell ref="N13:O13"/>
    <mergeCell ref="N12:O12"/>
  </mergeCells>
  <dataValidations xWindow="653" yWindow="706" count="3">
    <dataValidation allowBlank="1" showInputMessage="1" showErrorMessage="1" prompt="Please enter text" sqref="D15:E33 D46:E64 P43:W44 P12:W13"/>
    <dataValidation allowBlank="1" showInputMessage="1" showErrorMessage="1" prompt="Please enter Network / Sub-Network Name" sqref="T4:X4"/>
    <dataValidation type="list" allowBlank="1" showInputMessage="1" showErrorMessage="1" prompt="Please select from available drop-down options" sqref="F15:F33 F46:F64">
      <formula1>"Standard,Non-standard,[Select one]"</formula1>
    </dataValidation>
  </dataValidations>
  <pageMargins left="0.70866141732283472" right="0.70866141732283472" top="0.74803149606299213" bottom="0.74803149606299213" header="0.31496062992125989" footer="0.31496062992125989"/>
  <pageSetup paperSize="9" scale="40" fitToHeight="0" orientation="landscape" r:id="rId2"/>
  <headerFooter alignWithMargins="0">
    <oddHeader>&amp;CCommerce Commission Information Disclosure Template</oddHeader>
    <oddFooter>&amp;L&amp;F&amp;C&amp;P&amp;R&amp;A</oddFooter>
  </headerFooter>
  <rowBreaks count="1" manualBreakCount="1">
    <brk id="39" max="2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499984740745262"/>
    <pageSetUpPr fitToPage="1"/>
  </sheetPr>
  <dimension ref="A1:L60"/>
  <sheetViews>
    <sheetView showGridLines="0" zoomScaleNormal="100" zoomScaleSheetLayoutView="100" workbookViewId="0">
      <selection sqref="A1:XFD1048576"/>
    </sheetView>
  </sheetViews>
  <sheetFormatPr defaultColWidth="9.140625" defaultRowHeight="12.75" x14ac:dyDescent="0.2"/>
  <cols>
    <col min="1" max="1" width="5" style="20" customWidth="1"/>
    <col min="2" max="2" width="3.7109375" style="100" customWidth="1"/>
    <col min="3" max="3" width="10.28515625" style="33" customWidth="1"/>
    <col min="4" max="4" width="30" style="20" customWidth="1"/>
    <col min="5" max="5" width="50" style="27" customWidth="1"/>
    <col min="6" max="6" width="8.85546875" style="27" customWidth="1"/>
    <col min="7" max="7" width="6.42578125" style="27" customWidth="1"/>
    <col min="8" max="11" width="15.7109375" style="20" customWidth="1"/>
    <col min="12" max="12" width="2.7109375" style="20" customWidth="1"/>
    <col min="13" max="16384" width="9.140625" style="20"/>
  </cols>
  <sheetData>
    <row r="1" spans="1:12" ht="15" customHeight="1" x14ac:dyDescent="0.2">
      <c r="A1" s="555"/>
      <c r="B1" s="551"/>
      <c r="C1" s="553"/>
      <c r="D1" s="551"/>
      <c r="E1" s="551"/>
      <c r="F1" s="551"/>
      <c r="G1" s="551"/>
      <c r="H1" s="551"/>
      <c r="I1" s="551"/>
      <c r="J1" s="551"/>
      <c r="K1" s="551"/>
      <c r="L1" s="550"/>
    </row>
    <row r="2" spans="1:12" ht="18" customHeight="1" x14ac:dyDescent="0.3">
      <c r="A2" s="76"/>
      <c r="B2" s="449"/>
      <c r="C2" s="92"/>
      <c r="D2" s="449"/>
      <c r="E2" s="449"/>
      <c r="F2" s="449"/>
      <c r="G2" s="449"/>
      <c r="H2" s="94" t="s">
        <v>8</v>
      </c>
      <c r="I2" s="611" t="str">
        <f>IF(NOT(ISBLANK(CoverSheet!$C$8)),CoverSheet!$C$8,"")</f>
        <v>Alpine Energy Limited</v>
      </c>
      <c r="J2" s="611"/>
      <c r="K2" s="611"/>
      <c r="L2" s="50"/>
    </row>
    <row r="3" spans="1:12" ht="18" customHeight="1" x14ac:dyDescent="0.25">
      <c r="A3" s="76"/>
      <c r="B3" s="449"/>
      <c r="C3" s="92"/>
      <c r="D3" s="449"/>
      <c r="E3" s="449"/>
      <c r="F3" s="449"/>
      <c r="G3" s="449"/>
      <c r="H3" s="94" t="s">
        <v>393</v>
      </c>
      <c r="I3" s="612">
        <f>IF(ISNUMBER(CoverSheet!$C$12),CoverSheet!$C$12,"")</f>
        <v>43190</v>
      </c>
      <c r="J3" s="612"/>
      <c r="K3" s="612"/>
      <c r="L3" s="50"/>
    </row>
    <row r="4" spans="1:12" s="121" customFormat="1" ht="18" customHeight="1" x14ac:dyDescent="0.3">
      <c r="A4" s="76"/>
      <c r="B4" s="449"/>
      <c r="C4" s="92"/>
      <c r="D4" s="449"/>
      <c r="E4" s="449"/>
      <c r="F4" s="449"/>
      <c r="G4" s="449"/>
      <c r="H4" s="94" t="s">
        <v>94</v>
      </c>
      <c r="I4" s="669"/>
      <c r="J4" s="669"/>
      <c r="K4" s="669"/>
      <c r="L4" s="50"/>
    </row>
    <row r="5" spans="1:12" ht="21" x14ac:dyDescent="0.35">
      <c r="A5" s="545" t="s">
        <v>362</v>
      </c>
      <c r="B5" s="137"/>
      <c r="C5" s="92"/>
      <c r="D5" s="449"/>
      <c r="E5" s="449"/>
      <c r="F5" s="449"/>
      <c r="G5" s="449"/>
      <c r="H5" s="449"/>
      <c r="I5" s="452"/>
      <c r="J5" s="449"/>
      <c r="K5" s="449"/>
      <c r="L5" s="50"/>
    </row>
    <row r="6" spans="1:12" s="184" customFormat="1" ht="28.5" customHeight="1" x14ac:dyDescent="0.2">
      <c r="A6" s="609" t="s">
        <v>435</v>
      </c>
      <c r="B6" s="613"/>
      <c r="C6" s="613"/>
      <c r="D6" s="613"/>
      <c r="E6" s="613"/>
      <c r="F6" s="613"/>
      <c r="G6" s="613"/>
      <c r="H6" s="613"/>
      <c r="I6" s="613"/>
      <c r="J6" s="613"/>
      <c r="K6" s="613"/>
      <c r="L6" s="628"/>
    </row>
    <row r="7" spans="1:12" ht="15" customHeight="1" x14ac:dyDescent="0.2">
      <c r="A7" s="87" t="s">
        <v>623</v>
      </c>
      <c r="B7" s="452"/>
      <c r="C7" s="92"/>
      <c r="D7" s="449"/>
      <c r="E7" s="449"/>
      <c r="F7" s="449"/>
      <c r="G7" s="449"/>
      <c r="H7" s="449"/>
      <c r="I7" s="449"/>
      <c r="J7" s="449"/>
      <c r="K7" s="449"/>
      <c r="L7" s="50"/>
    </row>
    <row r="8" spans="1:12" ht="48" customHeight="1" x14ac:dyDescent="0.2">
      <c r="A8" s="116">
        <v>8</v>
      </c>
      <c r="B8" s="200"/>
      <c r="C8" s="192" t="s">
        <v>20</v>
      </c>
      <c r="D8" s="168" t="s">
        <v>1</v>
      </c>
      <c r="E8" s="168" t="s">
        <v>21</v>
      </c>
      <c r="F8" s="201"/>
      <c r="G8" s="226" t="s">
        <v>99</v>
      </c>
      <c r="H8" s="448" t="s">
        <v>278</v>
      </c>
      <c r="I8" s="448" t="s">
        <v>98</v>
      </c>
      <c r="J8" s="448" t="s">
        <v>74</v>
      </c>
      <c r="K8" s="321" t="s">
        <v>318</v>
      </c>
      <c r="L8" s="34"/>
    </row>
    <row r="9" spans="1:12" ht="15" customHeight="1" x14ac:dyDescent="0.2">
      <c r="A9" s="116">
        <v>9</v>
      </c>
      <c r="B9" s="200"/>
      <c r="C9" s="169" t="s">
        <v>22</v>
      </c>
      <c r="D9" s="169" t="s">
        <v>284</v>
      </c>
      <c r="E9" s="169" t="s">
        <v>23</v>
      </c>
      <c r="F9" s="179"/>
      <c r="G9" s="179" t="s">
        <v>24</v>
      </c>
      <c r="H9" s="3">
        <v>27509</v>
      </c>
      <c r="I9" s="3">
        <f>'S9b.Asset Age Profile'!AH10</f>
        <v>24769</v>
      </c>
      <c r="J9" s="5">
        <f t="shared" ref="J9:J40" si="0">I9-H9</f>
        <v>-2740</v>
      </c>
      <c r="K9" s="595">
        <f>'S9b.Asset Age Profile'!AJ10</f>
        <v>3</v>
      </c>
      <c r="L9" s="34"/>
    </row>
    <row r="10" spans="1:12" ht="15" customHeight="1" x14ac:dyDescent="0.2">
      <c r="A10" s="116">
        <v>10</v>
      </c>
      <c r="B10" s="200"/>
      <c r="C10" s="169" t="s">
        <v>22</v>
      </c>
      <c r="D10" s="169" t="s">
        <v>284</v>
      </c>
      <c r="E10" s="169" t="s">
        <v>25</v>
      </c>
      <c r="F10" s="179"/>
      <c r="G10" s="179" t="s">
        <v>24</v>
      </c>
      <c r="H10" s="3">
        <v>21499</v>
      </c>
      <c r="I10" s="3">
        <f>'S9b.Asset Age Profile'!AH11</f>
        <v>21602</v>
      </c>
      <c r="J10" s="5">
        <f t="shared" si="0"/>
        <v>103</v>
      </c>
      <c r="K10" s="595">
        <f>'S9b.Asset Age Profile'!AJ11</f>
        <v>3</v>
      </c>
      <c r="L10" s="34"/>
    </row>
    <row r="11" spans="1:12" ht="15" customHeight="1" x14ac:dyDescent="0.2">
      <c r="A11" s="116">
        <v>11</v>
      </c>
      <c r="B11" s="200"/>
      <c r="C11" s="169" t="s">
        <v>22</v>
      </c>
      <c r="D11" s="169" t="s">
        <v>284</v>
      </c>
      <c r="E11" s="169" t="s">
        <v>26</v>
      </c>
      <c r="F11" s="179"/>
      <c r="G11" s="179" t="s">
        <v>24</v>
      </c>
      <c r="H11" s="3">
        <v>381</v>
      </c>
      <c r="I11" s="3">
        <f>'S9b.Asset Age Profile'!AH12</f>
        <v>329</v>
      </c>
      <c r="J11" s="5">
        <f t="shared" si="0"/>
        <v>-52</v>
      </c>
      <c r="K11" s="595">
        <f>'S9b.Asset Age Profile'!AJ12</f>
        <v>3</v>
      </c>
      <c r="L11" s="34"/>
    </row>
    <row r="12" spans="1:12" ht="15" customHeight="1" x14ac:dyDescent="0.2">
      <c r="A12" s="116">
        <v>12</v>
      </c>
      <c r="B12" s="200"/>
      <c r="C12" s="169" t="s">
        <v>29</v>
      </c>
      <c r="D12" s="169" t="s">
        <v>285</v>
      </c>
      <c r="E12" s="169" t="s">
        <v>30</v>
      </c>
      <c r="F12" s="179"/>
      <c r="G12" s="179" t="s">
        <v>31</v>
      </c>
      <c r="H12" s="3">
        <v>243.58026581999997</v>
      </c>
      <c r="I12" s="3">
        <f>'S9b.Asset Age Profile'!AH13</f>
        <v>250.59000000000003</v>
      </c>
      <c r="J12" s="5">
        <f t="shared" si="0"/>
        <v>7.0097341800000663</v>
      </c>
      <c r="K12" s="595">
        <f>'S9b.Asset Age Profile'!AJ13</f>
        <v>3</v>
      </c>
      <c r="L12" s="34"/>
    </row>
    <row r="13" spans="1:12" ht="15" customHeight="1" x14ac:dyDescent="0.2">
      <c r="A13" s="116">
        <v>13</v>
      </c>
      <c r="B13" s="200"/>
      <c r="C13" s="169" t="s">
        <v>29</v>
      </c>
      <c r="D13" s="169" t="s">
        <v>285</v>
      </c>
      <c r="E13" s="169" t="s">
        <v>32</v>
      </c>
      <c r="F13" s="179"/>
      <c r="G13" s="179" t="s">
        <v>31</v>
      </c>
      <c r="H13" s="3">
        <v>23.944821770000001</v>
      </c>
      <c r="I13" s="3">
        <f>'S9b.Asset Age Profile'!AH14</f>
        <v>0</v>
      </c>
      <c r="J13" s="5">
        <f t="shared" si="0"/>
        <v>-23.944821770000001</v>
      </c>
      <c r="K13" s="595">
        <f>'S9b.Asset Age Profile'!AJ14</f>
        <v>4</v>
      </c>
      <c r="L13" s="34"/>
    </row>
    <row r="14" spans="1:12" ht="15" customHeight="1" x14ac:dyDescent="0.2">
      <c r="A14" s="116">
        <v>14</v>
      </c>
      <c r="B14" s="200"/>
      <c r="C14" s="169" t="s">
        <v>29</v>
      </c>
      <c r="D14" s="169" t="s">
        <v>286</v>
      </c>
      <c r="E14" s="169" t="s">
        <v>33</v>
      </c>
      <c r="F14" s="179"/>
      <c r="G14" s="179" t="s">
        <v>31</v>
      </c>
      <c r="H14" s="3">
        <v>40.116375230000003</v>
      </c>
      <c r="I14" s="3">
        <f>'S9b.Asset Age Profile'!AH15</f>
        <v>29.9</v>
      </c>
      <c r="J14" s="5">
        <f t="shared" si="0"/>
        <v>-10.216375230000004</v>
      </c>
      <c r="K14" s="595">
        <f>'S9b.Asset Age Profile'!AJ15</f>
        <v>4</v>
      </c>
      <c r="L14" s="34"/>
    </row>
    <row r="15" spans="1:12" ht="15" customHeight="1" x14ac:dyDescent="0.2">
      <c r="A15" s="116">
        <v>15</v>
      </c>
      <c r="B15" s="200"/>
      <c r="C15" s="169" t="s">
        <v>29</v>
      </c>
      <c r="D15" s="169" t="s">
        <v>286</v>
      </c>
      <c r="E15" s="169" t="s">
        <v>34</v>
      </c>
      <c r="F15" s="179"/>
      <c r="G15" s="179" t="s">
        <v>31</v>
      </c>
      <c r="H15" s="3">
        <v>0</v>
      </c>
      <c r="I15" s="3">
        <f>'S9b.Asset Age Profile'!AH16</f>
        <v>0</v>
      </c>
      <c r="J15" s="5">
        <f t="shared" si="0"/>
        <v>0</v>
      </c>
      <c r="K15" s="595" t="str">
        <f>'S9b.Asset Age Profile'!AJ16</f>
        <v>N/A</v>
      </c>
      <c r="L15" s="34"/>
    </row>
    <row r="16" spans="1:12" ht="15" customHeight="1" x14ac:dyDescent="0.2">
      <c r="A16" s="116">
        <v>16</v>
      </c>
      <c r="B16" s="200"/>
      <c r="C16" s="169" t="s">
        <v>29</v>
      </c>
      <c r="D16" s="169" t="s">
        <v>286</v>
      </c>
      <c r="E16" s="169" t="s">
        <v>35</v>
      </c>
      <c r="F16" s="179"/>
      <c r="G16" s="179" t="s">
        <v>31</v>
      </c>
      <c r="H16" s="3">
        <v>0</v>
      </c>
      <c r="I16" s="3">
        <f>'S9b.Asset Age Profile'!AH17</f>
        <v>0</v>
      </c>
      <c r="J16" s="5">
        <f t="shared" si="0"/>
        <v>0</v>
      </c>
      <c r="K16" s="595" t="str">
        <f>'S9b.Asset Age Profile'!AJ17</f>
        <v>N/A</v>
      </c>
      <c r="L16" s="34"/>
    </row>
    <row r="17" spans="1:12" ht="15" customHeight="1" x14ac:dyDescent="0.2">
      <c r="A17" s="116">
        <v>17</v>
      </c>
      <c r="B17" s="200"/>
      <c r="C17" s="169" t="s">
        <v>29</v>
      </c>
      <c r="D17" s="169" t="s">
        <v>286</v>
      </c>
      <c r="E17" s="169" t="s">
        <v>36</v>
      </c>
      <c r="F17" s="179"/>
      <c r="G17" s="179" t="s">
        <v>31</v>
      </c>
      <c r="H17" s="3">
        <v>0</v>
      </c>
      <c r="I17" s="3">
        <f>'S9b.Asset Age Profile'!AH18</f>
        <v>0</v>
      </c>
      <c r="J17" s="5">
        <f t="shared" si="0"/>
        <v>0</v>
      </c>
      <c r="K17" s="595" t="str">
        <f>'S9b.Asset Age Profile'!AJ18</f>
        <v>N/A</v>
      </c>
      <c r="L17" s="34"/>
    </row>
    <row r="18" spans="1:12" ht="15" customHeight="1" x14ac:dyDescent="0.2">
      <c r="A18" s="116">
        <v>18</v>
      </c>
      <c r="B18" s="200"/>
      <c r="C18" s="169" t="s">
        <v>29</v>
      </c>
      <c r="D18" s="169" t="s">
        <v>286</v>
      </c>
      <c r="E18" s="169" t="s">
        <v>37</v>
      </c>
      <c r="F18" s="179"/>
      <c r="G18" s="179" t="s">
        <v>31</v>
      </c>
      <c r="H18" s="3">
        <v>0</v>
      </c>
      <c r="I18" s="3">
        <f>'S9b.Asset Age Profile'!AH19</f>
        <v>0</v>
      </c>
      <c r="J18" s="5">
        <f t="shared" si="0"/>
        <v>0</v>
      </c>
      <c r="K18" s="595" t="str">
        <f>'S9b.Asset Age Profile'!AJ19</f>
        <v>N/A</v>
      </c>
      <c r="L18" s="34"/>
    </row>
    <row r="19" spans="1:12" ht="15" customHeight="1" x14ac:dyDescent="0.2">
      <c r="A19" s="116">
        <v>19</v>
      </c>
      <c r="B19" s="200"/>
      <c r="C19" s="169" t="s">
        <v>29</v>
      </c>
      <c r="D19" s="169" t="s">
        <v>286</v>
      </c>
      <c r="E19" s="169" t="s">
        <v>38</v>
      </c>
      <c r="F19" s="179"/>
      <c r="G19" s="179" t="s">
        <v>31</v>
      </c>
      <c r="H19" s="3">
        <v>0</v>
      </c>
      <c r="I19" s="3">
        <f>'S9b.Asset Age Profile'!AH20</f>
        <v>0</v>
      </c>
      <c r="J19" s="5">
        <f t="shared" si="0"/>
        <v>0</v>
      </c>
      <c r="K19" s="595" t="str">
        <f>'S9b.Asset Age Profile'!AJ20</f>
        <v>N/A</v>
      </c>
      <c r="L19" s="34"/>
    </row>
    <row r="20" spans="1:12" ht="15" customHeight="1" x14ac:dyDescent="0.2">
      <c r="A20" s="116">
        <v>20</v>
      </c>
      <c r="B20" s="200"/>
      <c r="C20" s="169" t="s">
        <v>29</v>
      </c>
      <c r="D20" s="169" t="s">
        <v>286</v>
      </c>
      <c r="E20" s="169" t="s">
        <v>39</v>
      </c>
      <c r="F20" s="179"/>
      <c r="G20" s="179" t="s">
        <v>31</v>
      </c>
      <c r="H20" s="3">
        <v>0</v>
      </c>
      <c r="I20" s="3">
        <f>'S9b.Asset Age Profile'!AH21</f>
        <v>0</v>
      </c>
      <c r="J20" s="5">
        <f t="shared" si="0"/>
        <v>0</v>
      </c>
      <c r="K20" s="595" t="str">
        <f>'S9b.Asset Age Profile'!AJ21</f>
        <v>N/A</v>
      </c>
      <c r="L20" s="34"/>
    </row>
    <row r="21" spans="1:12" ht="15" customHeight="1" x14ac:dyDescent="0.2">
      <c r="A21" s="116">
        <v>21</v>
      </c>
      <c r="B21" s="200"/>
      <c r="C21" s="169" t="s">
        <v>29</v>
      </c>
      <c r="D21" s="169" t="s">
        <v>286</v>
      </c>
      <c r="E21" s="169" t="s">
        <v>40</v>
      </c>
      <c r="F21" s="179"/>
      <c r="G21" s="179" t="s">
        <v>31</v>
      </c>
      <c r="H21" s="3">
        <v>0</v>
      </c>
      <c r="I21" s="3">
        <f>'S9b.Asset Age Profile'!AH22</f>
        <v>0</v>
      </c>
      <c r="J21" s="5">
        <f t="shared" si="0"/>
        <v>0</v>
      </c>
      <c r="K21" s="595" t="str">
        <f>'S9b.Asset Age Profile'!AJ22</f>
        <v>N/A</v>
      </c>
      <c r="L21" s="34"/>
    </row>
    <row r="22" spans="1:12" ht="15" customHeight="1" x14ac:dyDescent="0.2">
      <c r="A22" s="116">
        <v>22</v>
      </c>
      <c r="B22" s="200"/>
      <c r="C22" s="169" t="s">
        <v>29</v>
      </c>
      <c r="D22" s="169" t="s">
        <v>286</v>
      </c>
      <c r="E22" s="169" t="s">
        <v>41</v>
      </c>
      <c r="F22" s="179"/>
      <c r="G22" s="179" t="s">
        <v>31</v>
      </c>
      <c r="H22" s="3">
        <v>0</v>
      </c>
      <c r="I22" s="3">
        <f>'S9b.Asset Age Profile'!AH23</f>
        <v>0</v>
      </c>
      <c r="J22" s="5">
        <f t="shared" si="0"/>
        <v>0</v>
      </c>
      <c r="K22" s="595" t="str">
        <f>'S9b.Asset Age Profile'!AJ23</f>
        <v>N/A</v>
      </c>
      <c r="L22" s="34"/>
    </row>
    <row r="23" spans="1:12" ht="15" customHeight="1" x14ac:dyDescent="0.2">
      <c r="A23" s="116">
        <v>23</v>
      </c>
      <c r="B23" s="200"/>
      <c r="C23" s="169" t="s">
        <v>29</v>
      </c>
      <c r="D23" s="169" t="s">
        <v>287</v>
      </c>
      <c r="E23" s="169" t="s">
        <v>42</v>
      </c>
      <c r="F23" s="179"/>
      <c r="G23" s="179" t="s">
        <v>24</v>
      </c>
      <c r="H23" s="3">
        <v>19</v>
      </c>
      <c r="I23" s="3">
        <f>'S9b.Asset Age Profile'!AH24</f>
        <v>20</v>
      </c>
      <c r="J23" s="5">
        <f t="shared" si="0"/>
        <v>1</v>
      </c>
      <c r="K23" s="595">
        <f>'S9b.Asset Age Profile'!AJ24</f>
        <v>4</v>
      </c>
      <c r="L23" s="34"/>
    </row>
    <row r="24" spans="1:12" ht="15" customHeight="1" x14ac:dyDescent="0.2">
      <c r="A24" s="116">
        <v>24</v>
      </c>
      <c r="B24" s="200"/>
      <c r="C24" s="169" t="s">
        <v>29</v>
      </c>
      <c r="D24" s="169" t="s">
        <v>287</v>
      </c>
      <c r="E24" s="169" t="s">
        <v>43</v>
      </c>
      <c r="F24" s="179"/>
      <c r="G24" s="179" t="s">
        <v>24</v>
      </c>
      <c r="H24" s="3">
        <v>1</v>
      </c>
      <c r="I24" s="3">
        <f>'S9b.Asset Age Profile'!AH25</f>
        <v>2</v>
      </c>
      <c r="J24" s="5">
        <f t="shared" si="0"/>
        <v>1</v>
      </c>
      <c r="K24" s="595">
        <f>'S9b.Asset Age Profile'!AJ25</f>
        <v>4</v>
      </c>
      <c r="L24" s="34"/>
    </row>
    <row r="25" spans="1:12" ht="15" customHeight="1" x14ac:dyDescent="0.2">
      <c r="A25" s="116">
        <v>25</v>
      </c>
      <c r="B25" s="200"/>
      <c r="C25" s="169" t="s">
        <v>29</v>
      </c>
      <c r="D25" s="169" t="s">
        <v>288</v>
      </c>
      <c r="E25" s="169" t="s">
        <v>293</v>
      </c>
      <c r="F25" s="179"/>
      <c r="G25" s="179" t="s">
        <v>24</v>
      </c>
      <c r="H25" s="3">
        <v>0</v>
      </c>
      <c r="I25" s="3">
        <f>'S9b.Asset Age Profile'!AH26</f>
        <v>0</v>
      </c>
      <c r="J25" s="5">
        <f>I25-H25</f>
        <v>0</v>
      </c>
      <c r="K25" s="595" t="str">
        <f>'S9b.Asset Age Profile'!AJ26</f>
        <v>N/A</v>
      </c>
      <c r="L25" s="34"/>
    </row>
    <row r="26" spans="1:12" ht="15" customHeight="1" x14ac:dyDescent="0.2">
      <c r="A26" s="116">
        <v>26</v>
      </c>
      <c r="B26" s="200"/>
      <c r="C26" s="169" t="s">
        <v>29</v>
      </c>
      <c r="D26" s="169" t="s">
        <v>288</v>
      </c>
      <c r="E26" s="169" t="s">
        <v>294</v>
      </c>
      <c r="F26" s="179"/>
      <c r="G26" s="179" t="s">
        <v>24</v>
      </c>
      <c r="H26" s="3">
        <v>1</v>
      </c>
      <c r="I26" s="3">
        <f>'S9b.Asset Age Profile'!AH27</f>
        <v>1</v>
      </c>
      <c r="J26" s="5">
        <f>I26-H26</f>
        <v>0</v>
      </c>
      <c r="K26" s="595">
        <f>'S9b.Asset Age Profile'!AJ27</f>
        <v>4</v>
      </c>
      <c r="L26" s="34"/>
    </row>
    <row r="27" spans="1:12" ht="15" customHeight="1" x14ac:dyDescent="0.2">
      <c r="A27" s="116">
        <v>27</v>
      </c>
      <c r="B27" s="200"/>
      <c r="C27" s="169" t="s">
        <v>29</v>
      </c>
      <c r="D27" s="169" t="s">
        <v>288</v>
      </c>
      <c r="E27" s="169" t="s">
        <v>291</v>
      </c>
      <c r="F27" s="179"/>
      <c r="G27" s="179" t="s">
        <v>24</v>
      </c>
      <c r="H27" s="3">
        <v>8</v>
      </c>
      <c r="I27" s="3">
        <f>'S9b.Asset Age Profile'!AH28</f>
        <v>0</v>
      </c>
      <c r="J27" s="5">
        <f>I27-H27</f>
        <v>-8</v>
      </c>
      <c r="K27" s="595">
        <f>'S9b.Asset Age Profile'!AJ28</f>
        <v>4</v>
      </c>
      <c r="L27" s="34"/>
    </row>
    <row r="28" spans="1:12" ht="15" customHeight="1" x14ac:dyDescent="0.2">
      <c r="A28" s="116">
        <v>28</v>
      </c>
      <c r="B28" s="200"/>
      <c r="C28" s="169" t="s">
        <v>29</v>
      </c>
      <c r="D28" s="169" t="s">
        <v>288</v>
      </c>
      <c r="E28" s="169" t="s">
        <v>292</v>
      </c>
      <c r="F28" s="179"/>
      <c r="G28" s="179" t="s">
        <v>24</v>
      </c>
      <c r="H28" s="3">
        <v>113</v>
      </c>
      <c r="I28" s="3">
        <f>'S9b.Asset Age Profile'!AH29</f>
        <v>119</v>
      </c>
      <c r="J28" s="5">
        <f>I28-H28</f>
        <v>6</v>
      </c>
      <c r="K28" s="595">
        <f>'S9b.Asset Age Profile'!AJ29</f>
        <v>4</v>
      </c>
      <c r="L28" s="34"/>
    </row>
    <row r="29" spans="1:12" ht="15" customHeight="1" x14ac:dyDescent="0.2">
      <c r="A29" s="116">
        <v>29</v>
      </c>
      <c r="B29" s="200"/>
      <c r="C29" s="169" t="s">
        <v>29</v>
      </c>
      <c r="D29" s="169" t="s">
        <v>288</v>
      </c>
      <c r="E29" s="169" t="s">
        <v>44</v>
      </c>
      <c r="F29" s="179"/>
      <c r="G29" s="179" t="s">
        <v>24</v>
      </c>
      <c r="H29" s="3">
        <v>0</v>
      </c>
      <c r="I29" s="3">
        <f>'S9b.Asset Age Profile'!AH30</f>
        <v>0</v>
      </c>
      <c r="J29" s="5">
        <f>I29-H29</f>
        <v>0</v>
      </c>
      <c r="K29" s="595" t="str">
        <f>'S9b.Asset Age Profile'!AJ30</f>
        <v>N/A</v>
      </c>
      <c r="L29" s="34"/>
    </row>
    <row r="30" spans="1:12" ht="15" customHeight="1" x14ac:dyDescent="0.2">
      <c r="A30" s="116">
        <v>30</v>
      </c>
      <c r="B30" s="200"/>
      <c r="C30" s="169" t="s">
        <v>29</v>
      </c>
      <c r="D30" s="169" t="s">
        <v>288</v>
      </c>
      <c r="E30" s="169" t="s">
        <v>289</v>
      </c>
      <c r="F30" s="179"/>
      <c r="G30" s="179" t="s">
        <v>24</v>
      </c>
      <c r="H30" s="3">
        <v>6</v>
      </c>
      <c r="I30" s="3">
        <f>'S9b.Asset Age Profile'!AH31</f>
        <v>6</v>
      </c>
      <c r="J30" s="5">
        <f t="shared" si="0"/>
        <v>0</v>
      </c>
      <c r="K30" s="595">
        <f>'S9b.Asset Age Profile'!AJ31</f>
        <v>4</v>
      </c>
      <c r="L30" s="34"/>
    </row>
    <row r="31" spans="1:12" ht="15" customHeight="1" x14ac:dyDescent="0.2">
      <c r="A31" s="116">
        <v>31</v>
      </c>
      <c r="B31" s="200"/>
      <c r="C31" s="169" t="s">
        <v>29</v>
      </c>
      <c r="D31" s="169" t="s">
        <v>288</v>
      </c>
      <c r="E31" s="169" t="s">
        <v>290</v>
      </c>
      <c r="F31" s="179"/>
      <c r="G31" s="179" t="s">
        <v>24</v>
      </c>
      <c r="H31" s="3">
        <v>17</v>
      </c>
      <c r="I31" s="3">
        <f>'S9b.Asset Age Profile'!AH32</f>
        <v>28</v>
      </c>
      <c r="J31" s="5">
        <f t="shared" si="0"/>
        <v>11</v>
      </c>
      <c r="K31" s="595">
        <f>'S9b.Asset Age Profile'!AJ32</f>
        <v>4</v>
      </c>
      <c r="L31" s="34"/>
    </row>
    <row r="32" spans="1:12" ht="15" customHeight="1" x14ac:dyDescent="0.2">
      <c r="A32" s="116">
        <v>32</v>
      </c>
      <c r="B32" s="200"/>
      <c r="C32" s="169" t="s">
        <v>29</v>
      </c>
      <c r="D32" s="169" t="s">
        <v>288</v>
      </c>
      <c r="E32" s="169" t="s">
        <v>295</v>
      </c>
      <c r="F32" s="179"/>
      <c r="G32" s="179" t="s">
        <v>24</v>
      </c>
      <c r="H32" s="3">
        <v>210</v>
      </c>
      <c r="I32" s="3">
        <f>'S9b.Asset Age Profile'!AH33</f>
        <v>170</v>
      </c>
      <c r="J32" s="5">
        <f>I32-H32</f>
        <v>-40</v>
      </c>
      <c r="K32" s="595">
        <f>'S9b.Asset Age Profile'!AJ33</f>
        <v>4</v>
      </c>
      <c r="L32" s="34"/>
    </row>
    <row r="33" spans="1:12" ht="15" customHeight="1" x14ac:dyDescent="0.2">
      <c r="A33" s="116">
        <v>33</v>
      </c>
      <c r="B33" s="200"/>
      <c r="C33" s="169" t="s">
        <v>29</v>
      </c>
      <c r="D33" s="169" t="s">
        <v>288</v>
      </c>
      <c r="E33" s="169" t="s">
        <v>296</v>
      </c>
      <c r="F33" s="179"/>
      <c r="G33" s="179" t="s">
        <v>24</v>
      </c>
      <c r="H33" s="3">
        <v>0</v>
      </c>
      <c r="I33" s="3">
        <f>'S9b.Asset Age Profile'!AH34</f>
        <v>7</v>
      </c>
      <c r="J33" s="5">
        <f>I33-H33</f>
        <v>7</v>
      </c>
      <c r="K33" s="595" t="str">
        <f>'S9b.Asset Age Profile'!AJ34</f>
        <v>N/A</v>
      </c>
      <c r="L33" s="34"/>
    </row>
    <row r="34" spans="1:12" ht="15" customHeight="1" x14ac:dyDescent="0.2">
      <c r="A34" s="116">
        <v>34</v>
      </c>
      <c r="B34" s="200"/>
      <c r="C34" s="169" t="s">
        <v>29</v>
      </c>
      <c r="D34" s="169" t="s">
        <v>452</v>
      </c>
      <c r="E34" s="169" t="s">
        <v>297</v>
      </c>
      <c r="F34" s="179"/>
      <c r="G34" s="179" t="s">
        <v>24</v>
      </c>
      <c r="H34" s="3">
        <v>27</v>
      </c>
      <c r="I34" s="3">
        <f>'S9b.Asset Age Profile'!AH35</f>
        <v>27</v>
      </c>
      <c r="J34" s="5">
        <f t="shared" si="0"/>
        <v>0</v>
      </c>
      <c r="K34" s="595">
        <f>'S9b.Asset Age Profile'!AJ35</f>
        <v>4</v>
      </c>
      <c r="L34" s="34"/>
    </row>
    <row r="35" spans="1:12" ht="15" customHeight="1" x14ac:dyDescent="0.2">
      <c r="A35" s="116">
        <v>35</v>
      </c>
      <c r="B35" s="200"/>
      <c r="C35" s="169" t="s">
        <v>29</v>
      </c>
      <c r="D35" s="169" t="s">
        <v>298</v>
      </c>
      <c r="E35" s="169" t="s">
        <v>45</v>
      </c>
      <c r="F35" s="179"/>
      <c r="G35" s="179" t="s">
        <v>31</v>
      </c>
      <c r="H35" s="3">
        <v>2899.9995215400008</v>
      </c>
      <c r="I35" s="3">
        <f>'S9b.Asset Age Profile'!AH36</f>
        <v>2909.04</v>
      </c>
      <c r="J35" s="5">
        <f t="shared" si="0"/>
        <v>9.0404784599991217</v>
      </c>
      <c r="K35" s="595">
        <f>'S9b.Asset Age Profile'!AJ36</f>
        <v>3</v>
      </c>
      <c r="L35" s="34"/>
    </row>
    <row r="36" spans="1:12" ht="15" customHeight="1" x14ac:dyDescent="0.2">
      <c r="A36" s="116">
        <v>36</v>
      </c>
      <c r="B36" s="200"/>
      <c r="C36" s="169" t="s">
        <v>29</v>
      </c>
      <c r="D36" s="169" t="s">
        <v>298</v>
      </c>
      <c r="E36" s="169" t="s">
        <v>46</v>
      </c>
      <c r="F36" s="179"/>
      <c r="G36" s="179" t="s">
        <v>31</v>
      </c>
      <c r="H36" s="3">
        <v>0</v>
      </c>
      <c r="I36" s="3">
        <f>'S9b.Asset Age Profile'!AH37</f>
        <v>0</v>
      </c>
      <c r="J36" s="5">
        <f t="shared" si="0"/>
        <v>0</v>
      </c>
      <c r="K36" s="595" t="str">
        <f>'S9b.Asset Age Profile'!AJ37</f>
        <v>N/A</v>
      </c>
      <c r="L36" s="34"/>
    </row>
    <row r="37" spans="1:12" ht="15" customHeight="1" x14ac:dyDescent="0.2">
      <c r="A37" s="116">
        <v>37</v>
      </c>
      <c r="B37" s="200"/>
      <c r="C37" s="169" t="s">
        <v>29</v>
      </c>
      <c r="D37" s="169" t="s">
        <v>298</v>
      </c>
      <c r="E37" s="169" t="s">
        <v>299</v>
      </c>
      <c r="F37" s="179"/>
      <c r="G37" s="179" t="s">
        <v>31</v>
      </c>
      <c r="H37" s="3">
        <v>7.2483796600000003</v>
      </c>
      <c r="I37" s="3">
        <f>'S9b.Asset Age Profile'!AH38</f>
        <v>7.25</v>
      </c>
      <c r="J37" s="5">
        <f t="shared" si="0"/>
        <v>1.6203399999996648E-3</v>
      </c>
      <c r="K37" s="595">
        <f>'S9b.Asset Age Profile'!AJ38</f>
        <v>4</v>
      </c>
      <c r="L37" s="34"/>
    </row>
    <row r="38" spans="1:12" ht="15" customHeight="1" x14ac:dyDescent="0.2">
      <c r="A38" s="116">
        <v>38</v>
      </c>
      <c r="B38" s="200"/>
      <c r="C38" s="169" t="s">
        <v>29</v>
      </c>
      <c r="D38" s="169" t="s">
        <v>300</v>
      </c>
      <c r="E38" s="169" t="s">
        <v>47</v>
      </c>
      <c r="F38" s="179"/>
      <c r="G38" s="179" t="s">
        <v>31</v>
      </c>
      <c r="H38" s="3">
        <v>149.68045682000002</v>
      </c>
      <c r="I38" s="3">
        <f>'S9b.Asset Age Profile'!AH39</f>
        <v>246.59999999999991</v>
      </c>
      <c r="J38" s="5">
        <f t="shared" si="0"/>
        <v>96.919543179999891</v>
      </c>
      <c r="K38" s="595">
        <f>'S9b.Asset Age Profile'!AJ39</f>
        <v>2</v>
      </c>
      <c r="L38" s="34"/>
    </row>
    <row r="39" spans="1:12" ht="15" customHeight="1" x14ac:dyDescent="0.2">
      <c r="A39" s="116">
        <v>39</v>
      </c>
      <c r="B39" s="200"/>
      <c r="C39" s="169" t="s">
        <v>29</v>
      </c>
      <c r="D39" s="169" t="s">
        <v>300</v>
      </c>
      <c r="E39" s="169" t="s">
        <v>48</v>
      </c>
      <c r="F39" s="179"/>
      <c r="G39" s="179" t="s">
        <v>31</v>
      </c>
      <c r="H39" s="3">
        <v>136.32404650777448</v>
      </c>
      <c r="I39" s="3">
        <f>'S9b.Asset Age Profile'!AH40</f>
        <v>134.76</v>
      </c>
      <c r="J39" s="5">
        <f t="shared" si="0"/>
        <v>-1.5640465077744921</v>
      </c>
      <c r="K39" s="595">
        <f>'S9b.Asset Age Profile'!AJ40</f>
        <v>2</v>
      </c>
      <c r="L39" s="34"/>
    </row>
    <row r="40" spans="1:12" ht="15" customHeight="1" x14ac:dyDescent="0.2">
      <c r="A40" s="116">
        <v>40</v>
      </c>
      <c r="B40" s="200"/>
      <c r="C40" s="169" t="s">
        <v>29</v>
      </c>
      <c r="D40" s="169" t="s">
        <v>300</v>
      </c>
      <c r="E40" s="169" t="s">
        <v>49</v>
      </c>
      <c r="F40" s="179"/>
      <c r="G40" s="179" t="s">
        <v>31</v>
      </c>
      <c r="H40" s="3">
        <v>0</v>
      </c>
      <c r="I40" s="3">
        <f>'S9b.Asset Age Profile'!AH41</f>
        <v>0</v>
      </c>
      <c r="J40" s="5">
        <f t="shared" si="0"/>
        <v>0</v>
      </c>
      <c r="K40" s="595" t="str">
        <f>'S9b.Asset Age Profile'!AJ41</f>
        <v>N/A</v>
      </c>
      <c r="L40" s="34"/>
    </row>
    <row r="41" spans="1:12" ht="15" customHeight="1" x14ac:dyDescent="0.2">
      <c r="A41" s="116">
        <v>41</v>
      </c>
      <c r="B41" s="200"/>
      <c r="C41" s="169" t="s">
        <v>29</v>
      </c>
      <c r="D41" s="169" t="s">
        <v>301</v>
      </c>
      <c r="E41" s="169" t="s">
        <v>302</v>
      </c>
      <c r="F41" s="179"/>
      <c r="G41" s="179" t="s">
        <v>24</v>
      </c>
      <c r="H41" s="3">
        <v>44</v>
      </c>
      <c r="I41" s="3">
        <f>'S9b.Asset Age Profile'!AH42</f>
        <v>45</v>
      </c>
      <c r="J41" s="5">
        <f t="shared" ref="J41:J59" si="1">I41-H41</f>
        <v>1</v>
      </c>
      <c r="K41" s="595">
        <f>'S9b.Asset Age Profile'!AJ42</f>
        <v>4</v>
      </c>
      <c r="L41" s="34"/>
    </row>
    <row r="42" spans="1:12" ht="15" customHeight="1" x14ac:dyDescent="0.2">
      <c r="A42" s="116">
        <v>42</v>
      </c>
      <c r="B42" s="200"/>
      <c r="C42" s="169" t="s">
        <v>29</v>
      </c>
      <c r="D42" s="169" t="s">
        <v>301</v>
      </c>
      <c r="E42" s="169" t="s">
        <v>303</v>
      </c>
      <c r="F42" s="179"/>
      <c r="G42" s="179" t="s">
        <v>24</v>
      </c>
      <c r="H42" s="3">
        <v>0</v>
      </c>
      <c r="I42" s="3">
        <f>'S9b.Asset Age Profile'!AH43</f>
        <v>9</v>
      </c>
      <c r="J42" s="5">
        <f t="shared" si="1"/>
        <v>9</v>
      </c>
      <c r="K42" s="595" t="str">
        <f>'S9b.Asset Age Profile'!AJ43</f>
        <v>N/A</v>
      </c>
      <c r="L42" s="34"/>
    </row>
    <row r="43" spans="1:12" ht="15" customHeight="1" x14ac:dyDescent="0.2">
      <c r="A43" s="116">
        <v>43</v>
      </c>
      <c r="B43" s="200"/>
      <c r="C43" s="169" t="s">
        <v>29</v>
      </c>
      <c r="D43" s="169" t="s">
        <v>301</v>
      </c>
      <c r="E43" s="169" t="s">
        <v>304</v>
      </c>
      <c r="F43" s="179"/>
      <c r="G43" s="179" t="s">
        <v>24</v>
      </c>
      <c r="H43" s="3">
        <v>7177</v>
      </c>
      <c r="I43" s="3">
        <f>'S9b.Asset Age Profile'!AH44</f>
        <v>7565</v>
      </c>
      <c r="J43" s="5">
        <f t="shared" si="1"/>
        <v>388</v>
      </c>
      <c r="K43" s="595">
        <f>'S9b.Asset Age Profile'!AJ44</f>
        <v>2</v>
      </c>
      <c r="L43" s="34"/>
    </row>
    <row r="44" spans="1:12" ht="15" customHeight="1" x14ac:dyDescent="0.2">
      <c r="A44" s="116">
        <v>44</v>
      </c>
      <c r="B44" s="200"/>
      <c r="C44" s="169" t="s">
        <v>29</v>
      </c>
      <c r="D44" s="169" t="s">
        <v>301</v>
      </c>
      <c r="E44" s="169" t="s">
        <v>305</v>
      </c>
      <c r="F44" s="179"/>
      <c r="G44" s="179" t="s">
        <v>24</v>
      </c>
      <c r="H44" s="3">
        <v>68</v>
      </c>
      <c r="I44" s="3">
        <f>'S9b.Asset Age Profile'!AH45</f>
        <v>12</v>
      </c>
      <c r="J44" s="5">
        <f t="shared" si="1"/>
        <v>-56</v>
      </c>
      <c r="K44" s="595">
        <f>'S9b.Asset Age Profile'!AJ45</f>
        <v>3</v>
      </c>
      <c r="L44" s="34"/>
    </row>
    <row r="45" spans="1:12" ht="15" customHeight="1" x14ac:dyDescent="0.2">
      <c r="A45" s="116">
        <v>45</v>
      </c>
      <c r="B45" s="200"/>
      <c r="C45" s="169" t="s">
        <v>29</v>
      </c>
      <c r="D45" s="169" t="s">
        <v>301</v>
      </c>
      <c r="E45" s="169" t="s">
        <v>50</v>
      </c>
      <c r="F45" s="179"/>
      <c r="G45" s="179" t="s">
        <v>24</v>
      </c>
      <c r="H45" s="3">
        <v>371</v>
      </c>
      <c r="I45" s="3">
        <f>'S9b.Asset Age Profile'!AH46</f>
        <v>386</v>
      </c>
      <c r="J45" s="5">
        <f t="shared" si="1"/>
        <v>15</v>
      </c>
      <c r="K45" s="595">
        <f>'S9b.Asset Age Profile'!AJ46</f>
        <v>3</v>
      </c>
      <c r="L45" s="34"/>
    </row>
    <row r="46" spans="1:12" ht="15" customHeight="1" x14ac:dyDescent="0.2">
      <c r="A46" s="116">
        <v>46</v>
      </c>
      <c r="B46" s="200"/>
      <c r="C46" s="169" t="s">
        <v>29</v>
      </c>
      <c r="D46" s="169" t="s">
        <v>306</v>
      </c>
      <c r="E46" s="169" t="s">
        <v>51</v>
      </c>
      <c r="F46" s="179"/>
      <c r="G46" s="179" t="s">
        <v>24</v>
      </c>
      <c r="H46" s="3">
        <v>4971</v>
      </c>
      <c r="I46" s="3">
        <f>'S9b.Asset Age Profile'!AH47</f>
        <v>5346</v>
      </c>
      <c r="J46" s="5">
        <f t="shared" si="1"/>
        <v>375</v>
      </c>
      <c r="K46" s="595">
        <f>'S9b.Asset Age Profile'!AJ47</f>
        <v>2</v>
      </c>
      <c r="L46" s="34"/>
    </row>
    <row r="47" spans="1:12" ht="15" customHeight="1" x14ac:dyDescent="0.2">
      <c r="A47" s="116">
        <v>47</v>
      </c>
      <c r="B47" s="200"/>
      <c r="C47" s="169" t="s">
        <v>29</v>
      </c>
      <c r="D47" s="169" t="s">
        <v>306</v>
      </c>
      <c r="E47" s="169" t="s">
        <v>52</v>
      </c>
      <c r="F47" s="179"/>
      <c r="G47" s="179" t="s">
        <v>24</v>
      </c>
      <c r="H47" s="3">
        <v>934</v>
      </c>
      <c r="I47" s="3">
        <f>'S9b.Asset Age Profile'!AH48</f>
        <v>901</v>
      </c>
      <c r="J47" s="5">
        <f t="shared" si="1"/>
        <v>-33</v>
      </c>
      <c r="K47" s="595">
        <f>'S9b.Asset Age Profile'!AJ48</f>
        <v>2</v>
      </c>
      <c r="L47" s="34"/>
    </row>
    <row r="48" spans="1:12" ht="15" customHeight="1" x14ac:dyDescent="0.2">
      <c r="A48" s="116">
        <v>48</v>
      </c>
      <c r="B48" s="200"/>
      <c r="C48" s="169" t="s">
        <v>29</v>
      </c>
      <c r="D48" s="169" t="s">
        <v>307</v>
      </c>
      <c r="E48" s="169" t="s">
        <v>19</v>
      </c>
      <c r="F48" s="179"/>
      <c r="G48" s="179" t="s">
        <v>24</v>
      </c>
      <c r="H48" s="3">
        <v>31</v>
      </c>
      <c r="I48" s="3">
        <f>'S9b.Asset Age Profile'!AH49</f>
        <v>31</v>
      </c>
      <c r="J48" s="5">
        <f t="shared" si="1"/>
        <v>0</v>
      </c>
      <c r="K48" s="595">
        <f>'S9b.Asset Age Profile'!AJ49</f>
        <v>4</v>
      </c>
      <c r="L48" s="34"/>
    </row>
    <row r="49" spans="1:12" ht="15" customHeight="1" x14ac:dyDescent="0.2">
      <c r="A49" s="116">
        <v>49</v>
      </c>
      <c r="B49" s="200"/>
      <c r="C49" s="169" t="s">
        <v>29</v>
      </c>
      <c r="D49" s="169" t="s">
        <v>308</v>
      </c>
      <c r="E49" s="169" t="s">
        <v>53</v>
      </c>
      <c r="F49" s="179"/>
      <c r="G49" s="179" t="s">
        <v>24</v>
      </c>
      <c r="H49" s="3">
        <v>0</v>
      </c>
      <c r="I49" s="3">
        <f>'S9b.Asset Age Profile'!AH50</f>
        <v>0</v>
      </c>
      <c r="J49" s="5">
        <f t="shared" si="1"/>
        <v>0</v>
      </c>
      <c r="K49" s="595" t="str">
        <f>'S9b.Asset Age Profile'!AJ50</f>
        <v>N/A</v>
      </c>
      <c r="L49" s="34"/>
    </row>
    <row r="50" spans="1:12" ht="15" customHeight="1" x14ac:dyDescent="0.2">
      <c r="A50" s="116">
        <v>50</v>
      </c>
      <c r="B50" s="200"/>
      <c r="C50" s="169" t="s">
        <v>54</v>
      </c>
      <c r="D50" s="169" t="s">
        <v>309</v>
      </c>
      <c r="E50" s="169" t="s">
        <v>310</v>
      </c>
      <c r="F50" s="179"/>
      <c r="G50" s="179" t="s">
        <v>31</v>
      </c>
      <c r="H50" s="3">
        <v>378.40046346000014</v>
      </c>
      <c r="I50" s="3">
        <f>'S9b.Asset Age Profile'!AH51</f>
        <v>363.0800000000001</v>
      </c>
      <c r="J50" s="5">
        <f t="shared" si="1"/>
        <v>-15.320463460000042</v>
      </c>
      <c r="K50" s="595">
        <f>'S9b.Asset Age Profile'!AJ51</f>
        <v>3</v>
      </c>
      <c r="L50" s="34"/>
    </row>
    <row r="51" spans="1:12" ht="15" customHeight="1" x14ac:dyDescent="0.2">
      <c r="A51" s="116">
        <v>51</v>
      </c>
      <c r="B51" s="200"/>
      <c r="C51" s="169" t="s">
        <v>54</v>
      </c>
      <c r="D51" s="169" t="s">
        <v>311</v>
      </c>
      <c r="E51" s="169" t="s">
        <v>312</v>
      </c>
      <c r="F51" s="179"/>
      <c r="G51" s="179" t="s">
        <v>31</v>
      </c>
      <c r="H51" s="3">
        <v>347.12509154000014</v>
      </c>
      <c r="I51" s="3">
        <f>'S9b.Asset Age Profile'!AH52</f>
        <v>341.03999999999996</v>
      </c>
      <c r="J51" s="5">
        <f t="shared" si="1"/>
        <v>-6.0850915400001782</v>
      </c>
      <c r="K51" s="595">
        <f>'S9b.Asset Age Profile'!AJ52</f>
        <v>3</v>
      </c>
      <c r="L51" s="34"/>
    </row>
    <row r="52" spans="1:12" ht="15" customHeight="1" x14ac:dyDescent="0.2">
      <c r="A52" s="116">
        <v>52</v>
      </c>
      <c r="B52" s="200"/>
      <c r="C52" s="169" t="s">
        <v>54</v>
      </c>
      <c r="D52" s="169" t="s">
        <v>463</v>
      </c>
      <c r="E52" s="169" t="s">
        <v>313</v>
      </c>
      <c r="F52" s="179"/>
      <c r="G52" s="179" t="s">
        <v>31</v>
      </c>
      <c r="H52" s="3">
        <v>0</v>
      </c>
      <c r="I52" s="3">
        <f>'S9b.Asset Age Profile'!AH53</f>
        <v>0</v>
      </c>
      <c r="J52" s="5">
        <f t="shared" si="1"/>
        <v>0</v>
      </c>
      <c r="K52" s="595" t="str">
        <f>'S9b.Asset Age Profile'!AJ53</f>
        <v>N/A</v>
      </c>
      <c r="L52" s="34"/>
    </row>
    <row r="53" spans="1:12" ht="15" customHeight="1" x14ac:dyDescent="0.2">
      <c r="A53" s="116">
        <v>53</v>
      </c>
      <c r="B53" s="200"/>
      <c r="C53" s="169" t="s">
        <v>54</v>
      </c>
      <c r="D53" s="169" t="s">
        <v>55</v>
      </c>
      <c r="E53" s="169" t="s">
        <v>432</v>
      </c>
      <c r="F53" s="179"/>
      <c r="G53" s="179" t="s">
        <v>24</v>
      </c>
      <c r="H53" s="3">
        <v>32861</v>
      </c>
      <c r="I53" s="3">
        <f>'S9b.Asset Age Profile'!AH54</f>
        <v>33071</v>
      </c>
      <c r="J53" s="5">
        <f t="shared" si="1"/>
        <v>210</v>
      </c>
      <c r="K53" s="595">
        <f>'S9b.Asset Age Profile'!AJ54</f>
        <v>4</v>
      </c>
      <c r="L53" s="34"/>
    </row>
    <row r="54" spans="1:12" ht="15" customHeight="1" x14ac:dyDescent="0.2">
      <c r="A54" s="116">
        <v>54</v>
      </c>
      <c r="B54" s="200"/>
      <c r="C54" s="169" t="s">
        <v>22</v>
      </c>
      <c r="D54" s="169" t="s">
        <v>56</v>
      </c>
      <c r="E54" s="169" t="s">
        <v>57</v>
      </c>
      <c r="F54" s="179"/>
      <c r="G54" s="179" t="s">
        <v>24</v>
      </c>
      <c r="H54" s="3">
        <v>0</v>
      </c>
      <c r="I54" s="3">
        <f>'S9b.Asset Age Profile'!AH55</f>
        <v>424</v>
      </c>
      <c r="J54" s="5">
        <f t="shared" si="1"/>
        <v>424</v>
      </c>
      <c r="K54" s="595" t="str">
        <f>'S9b.Asset Age Profile'!AJ55</f>
        <v>N/A</v>
      </c>
      <c r="L54" s="34"/>
    </row>
    <row r="55" spans="1:12" ht="15" customHeight="1" x14ac:dyDescent="0.2">
      <c r="A55" s="116">
        <v>55</v>
      </c>
      <c r="B55" s="200"/>
      <c r="C55" s="169" t="s">
        <v>22</v>
      </c>
      <c r="D55" s="169" t="s">
        <v>58</v>
      </c>
      <c r="E55" s="169" t="s">
        <v>392</v>
      </c>
      <c r="F55" s="179"/>
      <c r="G55" s="179" t="s">
        <v>316</v>
      </c>
      <c r="H55" s="3">
        <v>1</v>
      </c>
      <c r="I55" s="3">
        <f>'S9b.Asset Age Profile'!AH56</f>
        <v>816</v>
      </c>
      <c r="J55" s="5">
        <f t="shared" si="1"/>
        <v>815</v>
      </c>
      <c r="K55" s="595">
        <f>'S9b.Asset Age Profile'!AJ56</f>
        <v>4</v>
      </c>
      <c r="L55" s="34"/>
    </row>
    <row r="56" spans="1:12" ht="15" customHeight="1" x14ac:dyDescent="0.2">
      <c r="A56" s="116">
        <v>56</v>
      </c>
      <c r="B56" s="200"/>
      <c r="C56" s="169" t="s">
        <v>22</v>
      </c>
      <c r="D56" s="169" t="s">
        <v>314</v>
      </c>
      <c r="E56" s="169" t="s">
        <v>27</v>
      </c>
      <c r="F56" s="179"/>
      <c r="G56" s="179" t="s">
        <v>28</v>
      </c>
      <c r="H56" s="3">
        <v>15</v>
      </c>
      <c r="I56" s="3">
        <f>'S9b.Asset Age Profile'!AH57</f>
        <v>16</v>
      </c>
      <c r="J56" s="5">
        <f t="shared" si="1"/>
        <v>1</v>
      </c>
      <c r="K56" s="595">
        <f>'S9b.Asset Age Profile'!AJ57</f>
        <v>4</v>
      </c>
      <c r="L56" s="34"/>
    </row>
    <row r="57" spans="1:12" ht="15" customHeight="1" x14ac:dyDescent="0.2">
      <c r="A57" s="116">
        <v>57</v>
      </c>
      <c r="B57" s="200"/>
      <c r="C57" s="169" t="s">
        <v>22</v>
      </c>
      <c r="D57" s="169" t="s">
        <v>315</v>
      </c>
      <c r="E57" s="169" t="s">
        <v>61</v>
      </c>
      <c r="F57" s="179"/>
      <c r="G57" s="179" t="s">
        <v>316</v>
      </c>
      <c r="H57" s="3">
        <v>6</v>
      </c>
      <c r="I57" s="3">
        <f>'S9b.Asset Age Profile'!AH58</f>
        <v>7</v>
      </c>
      <c r="J57" s="5">
        <f t="shared" si="1"/>
        <v>1</v>
      </c>
      <c r="K57" s="595">
        <f>'S9b.Asset Age Profile'!AJ58</f>
        <v>4</v>
      </c>
      <c r="L57" s="34"/>
    </row>
    <row r="58" spans="1:12" ht="15" customHeight="1" x14ac:dyDescent="0.2">
      <c r="A58" s="116">
        <v>58</v>
      </c>
      <c r="B58" s="200"/>
      <c r="C58" s="169" t="s">
        <v>22</v>
      </c>
      <c r="D58" s="169" t="s">
        <v>315</v>
      </c>
      <c r="E58" s="169" t="s">
        <v>62</v>
      </c>
      <c r="F58" s="179"/>
      <c r="G58" s="179" t="s">
        <v>28</v>
      </c>
      <c r="H58" s="3">
        <v>15853</v>
      </c>
      <c r="I58" s="3">
        <f>'S9b.Asset Age Profile'!AH59</f>
        <v>20200</v>
      </c>
      <c r="J58" s="5">
        <f t="shared" si="1"/>
        <v>4347</v>
      </c>
      <c r="K58" s="595">
        <f>'S9b.Asset Age Profile'!AJ59</f>
        <v>2</v>
      </c>
      <c r="L58" s="34"/>
    </row>
    <row r="59" spans="1:12" ht="15" customHeight="1" x14ac:dyDescent="0.2">
      <c r="A59" s="116">
        <v>59</v>
      </c>
      <c r="B59" s="200"/>
      <c r="C59" s="169" t="s">
        <v>22</v>
      </c>
      <c r="D59" s="169" t="s">
        <v>59</v>
      </c>
      <c r="E59" s="169" t="s">
        <v>60</v>
      </c>
      <c r="F59" s="179"/>
      <c r="G59" s="179" t="s">
        <v>31</v>
      </c>
      <c r="H59" s="3">
        <v>0.25</v>
      </c>
      <c r="I59" s="3">
        <f>'S9b.Asset Age Profile'!AH60</f>
        <v>0.08</v>
      </c>
      <c r="J59" s="5">
        <f t="shared" si="1"/>
        <v>-0.16999999999999998</v>
      </c>
      <c r="K59" s="595">
        <f>'S9b.Asset Age Profile'!AJ60</f>
        <v>2</v>
      </c>
      <c r="L59" s="34"/>
    </row>
    <row r="60" spans="1:12" x14ac:dyDescent="0.2">
      <c r="A60" s="39"/>
      <c r="B60" s="101"/>
      <c r="C60" s="40"/>
      <c r="D60" s="41"/>
      <c r="E60" s="41"/>
      <c r="F60" s="41"/>
      <c r="G60" s="41"/>
      <c r="H60" s="41"/>
      <c r="I60" s="41"/>
      <c r="J60" s="41"/>
      <c r="K60" s="41"/>
      <c r="L60" s="47"/>
    </row>
  </sheetData>
  <sheetProtection formatRows="0" insertRows="0"/>
  <customSheetViews>
    <customSheetView guid="{21F2E024-704F-4E93-AC63-213755ECFFE0}" scale="55" showPageBreaks="1" showGridLines="0" fitToPage="1" printArea="1" view="pageBreakPreview">
      <pane ySplit="6" topLeftCell="A7" activePane="bottomLeft" state="frozen"/>
      <selection pane="bottomLeft" activeCell="O20" sqref="O20"/>
      <pageMargins left="0.70866141732283472" right="0.70866141732283472" top="0.74803149606299213" bottom="0.74803149606299213" header="0.31496062992125984" footer="0.31496062992125984"/>
      <pageSetup paperSize="9" scale="54" fitToHeight="10" orientation="portrait"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4">
    <mergeCell ref="A6:L6"/>
    <mergeCell ref="I2:K2"/>
    <mergeCell ref="I3:K3"/>
    <mergeCell ref="I4:K4"/>
  </mergeCells>
  <dataValidations count="2">
    <dataValidation allowBlank="1" showInputMessage="1" showErrorMessage="1" prompt="Please enter Network / Sub-Network Name" sqref="I4:K4"/>
    <dataValidation type="list" allowBlank="1" showInputMessage="1" showErrorMessage="1" prompt="Please select from available drop-down options" sqref="K9:K59">
      <formula1>"1,2,3,4,N/A,[Select one]"</formula1>
    </dataValidation>
  </dataValidations>
  <pageMargins left="0.70866141732283472" right="0.70866141732283472" top="0.74803149606299213" bottom="0.74803149606299213" header="0.31496062992125989" footer="0.31496062992125989"/>
  <pageSetup paperSize="9" scale="54" orientation="portrait" r:id="rId2"/>
  <headerFooter alignWithMargins="0">
    <oddHeader>&amp;CCommerce Commission Information Disclosure Template</oddHeader>
    <oddFooter>&amp;L&amp;F&amp;C&amp;P&amp;R&amp;A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499984740745262"/>
    <pageSetUpPr fitToPage="1"/>
  </sheetPr>
  <dimension ref="A1:AK61"/>
  <sheetViews>
    <sheetView showGridLines="0" view="pageBreakPreview" zoomScaleNormal="100" zoomScaleSheetLayoutView="100" workbookViewId="0">
      <pane xSplit="6" ySplit="9" topLeftCell="G10" activePane="bottomRight" state="frozen"/>
      <selection pane="topRight" activeCell="G1" sqref="G1"/>
      <selection pane="bottomLeft" activeCell="A10" sqref="A10"/>
      <selection pane="bottomRight" sqref="A1:XFD1048576"/>
    </sheetView>
  </sheetViews>
  <sheetFormatPr defaultColWidth="9.140625" defaultRowHeight="12.75" x14ac:dyDescent="0.2"/>
  <cols>
    <col min="1" max="1" width="4.5703125" style="9" customWidth="1"/>
    <col min="2" max="2" width="3.42578125" style="100" customWidth="1"/>
    <col min="3" max="3" width="10.140625" style="33" customWidth="1"/>
    <col min="4" max="4" width="31.5703125" style="9" customWidth="1"/>
    <col min="5" max="5" width="61.85546875" style="9" customWidth="1"/>
    <col min="6" max="6" width="8.42578125" style="9" customWidth="1"/>
    <col min="7" max="10" width="9.140625" style="11" customWidth="1"/>
    <col min="11" max="13" width="9.140625" style="20" customWidth="1"/>
    <col min="14" max="14" width="9.140625" style="11" customWidth="1"/>
    <col min="15" max="21" width="9.140625" style="10" customWidth="1"/>
    <col min="22" max="31" width="9.140625" style="33" customWidth="1"/>
    <col min="32" max="32" width="9.140625" style="270" customWidth="1"/>
    <col min="33" max="34" width="10.140625" style="33" customWidth="1"/>
    <col min="35" max="35" width="9.140625" style="33" customWidth="1"/>
    <col min="36" max="36" width="12.7109375" style="33" customWidth="1"/>
    <col min="37" max="37" width="2.7109375" style="33" customWidth="1"/>
    <col min="38" max="16384" width="9.140625" style="9"/>
  </cols>
  <sheetData>
    <row r="1" spans="1:37" s="12" customFormat="1" ht="15" customHeight="1" x14ac:dyDescent="0.2">
      <c r="A1" s="555"/>
      <c r="B1" s="551"/>
      <c r="C1" s="553"/>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0"/>
    </row>
    <row r="2" spans="1:37" s="12" customFormat="1" ht="18" customHeight="1" x14ac:dyDescent="0.3">
      <c r="A2" s="76"/>
      <c r="B2" s="449"/>
      <c r="C2" s="92"/>
      <c r="D2" s="449"/>
      <c r="E2" s="449"/>
      <c r="F2" s="449"/>
      <c r="G2" s="449"/>
      <c r="H2" s="449"/>
      <c r="I2" s="449"/>
      <c r="J2" s="449"/>
      <c r="K2" s="449"/>
      <c r="L2" s="449"/>
      <c r="M2" s="449"/>
      <c r="N2" s="449"/>
      <c r="O2" s="449"/>
      <c r="P2" s="92"/>
      <c r="Q2" s="92"/>
      <c r="R2" s="92"/>
      <c r="S2" s="92"/>
      <c r="T2" s="92"/>
      <c r="U2" s="92"/>
      <c r="V2" s="92"/>
      <c r="W2" s="449"/>
      <c r="X2" s="449"/>
      <c r="Y2" s="449"/>
      <c r="Z2" s="449"/>
      <c r="AA2" s="449"/>
      <c r="AB2" s="449"/>
      <c r="AC2" s="449"/>
      <c r="AD2" s="94" t="s">
        <v>8</v>
      </c>
      <c r="AE2" s="678" t="str">
        <f>IF(NOT(ISBLANK(CoverSheet!$C$8)),CoverSheet!$C$8,"")</f>
        <v>Alpine Energy Limited</v>
      </c>
      <c r="AF2" s="679"/>
      <c r="AG2" s="678"/>
      <c r="AH2" s="678"/>
      <c r="AI2" s="678"/>
      <c r="AJ2" s="678"/>
      <c r="AK2" s="50"/>
    </row>
    <row r="3" spans="1:37" s="12" customFormat="1" ht="18" customHeight="1" x14ac:dyDescent="0.25">
      <c r="A3" s="76"/>
      <c r="B3" s="449"/>
      <c r="C3" s="92"/>
      <c r="D3" s="449"/>
      <c r="E3" s="449"/>
      <c r="F3" s="449"/>
      <c r="G3" s="449"/>
      <c r="H3" s="449"/>
      <c r="I3" s="449"/>
      <c r="J3" s="449"/>
      <c r="K3" s="449"/>
      <c r="L3" s="449"/>
      <c r="M3" s="449"/>
      <c r="N3" s="449"/>
      <c r="O3" s="449"/>
      <c r="P3" s="92"/>
      <c r="Q3" s="92"/>
      <c r="R3" s="92"/>
      <c r="S3" s="92"/>
      <c r="T3" s="92"/>
      <c r="U3" s="92"/>
      <c r="V3" s="92"/>
      <c r="W3" s="449"/>
      <c r="X3" s="449"/>
      <c r="Y3" s="449"/>
      <c r="Z3" s="449"/>
      <c r="AA3" s="449"/>
      <c r="AB3" s="449"/>
      <c r="AC3" s="449"/>
      <c r="AD3" s="94" t="s">
        <v>393</v>
      </c>
      <c r="AE3" s="612">
        <f>IF(ISNUMBER(CoverSheet!$C$12),CoverSheet!$C$12,"")</f>
        <v>43190</v>
      </c>
      <c r="AF3" s="668"/>
      <c r="AG3" s="612"/>
      <c r="AH3" s="612"/>
      <c r="AI3" s="612"/>
      <c r="AJ3" s="612"/>
      <c r="AK3" s="50"/>
    </row>
    <row r="4" spans="1:37" s="12" customFormat="1" ht="18" customHeight="1" x14ac:dyDescent="0.35">
      <c r="A4" s="136"/>
      <c r="B4" s="137"/>
      <c r="C4" s="92"/>
      <c r="D4" s="449"/>
      <c r="E4" s="449"/>
      <c r="F4" s="449"/>
      <c r="G4" s="449"/>
      <c r="H4" s="449"/>
      <c r="I4" s="449"/>
      <c r="J4" s="449"/>
      <c r="K4" s="449"/>
      <c r="L4" s="449"/>
      <c r="M4" s="449"/>
      <c r="N4" s="449"/>
      <c r="O4" s="449"/>
      <c r="P4" s="449"/>
      <c r="Q4" s="452"/>
      <c r="R4" s="449"/>
      <c r="S4" s="449"/>
      <c r="T4" s="449"/>
      <c r="U4" s="449"/>
      <c r="V4" s="449"/>
      <c r="W4" s="449"/>
      <c r="X4" s="449"/>
      <c r="Y4" s="449"/>
      <c r="Z4" s="449"/>
      <c r="AA4" s="449"/>
      <c r="AB4" s="449"/>
      <c r="AC4" s="449"/>
      <c r="AD4" s="94" t="s">
        <v>94</v>
      </c>
      <c r="AE4" s="669"/>
      <c r="AF4" s="670"/>
      <c r="AG4" s="669"/>
      <c r="AH4" s="669"/>
      <c r="AI4" s="669"/>
      <c r="AJ4" s="669"/>
      <c r="AK4" s="50"/>
    </row>
    <row r="5" spans="1:37" s="115" customFormat="1" ht="21" x14ac:dyDescent="0.35">
      <c r="A5" s="255" t="s">
        <v>363</v>
      </c>
      <c r="B5" s="137"/>
      <c r="C5" s="92"/>
      <c r="D5" s="449"/>
      <c r="E5" s="449"/>
      <c r="F5" s="449"/>
      <c r="G5" s="449"/>
      <c r="H5" s="449"/>
      <c r="I5" s="449"/>
      <c r="J5" s="449"/>
      <c r="K5" s="449"/>
      <c r="L5" s="449"/>
      <c r="M5" s="449"/>
      <c r="N5" s="449"/>
      <c r="O5" s="449"/>
      <c r="P5" s="449"/>
      <c r="Q5" s="452"/>
      <c r="R5" s="449"/>
      <c r="S5" s="449"/>
      <c r="T5" s="449"/>
      <c r="U5" s="449"/>
      <c r="V5" s="449"/>
      <c r="W5" s="449"/>
      <c r="X5" s="449"/>
      <c r="Y5" s="449"/>
      <c r="Z5" s="449"/>
      <c r="AA5" s="449"/>
      <c r="AB5" s="449"/>
      <c r="AC5" s="449"/>
      <c r="AD5" s="452"/>
      <c r="AE5" s="449"/>
      <c r="AF5" s="570"/>
      <c r="AG5" s="449"/>
      <c r="AH5" s="449"/>
      <c r="AI5" s="449"/>
      <c r="AJ5" s="449"/>
      <c r="AK5" s="472"/>
    </row>
    <row r="6" spans="1:37" s="184" customFormat="1" ht="22.5" customHeight="1" x14ac:dyDescent="0.2">
      <c r="A6" s="609" t="s">
        <v>436</v>
      </c>
      <c r="B6" s="613"/>
      <c r="C6" s="613"/>
      <c r="D6" s="613"/>
      <c r="E6" s="613"/>
      <c r="F6" s="613"/>
      <c r="G6" s="613"/>
      <c r="H6" s="613"/>
      <c r="I6" s="613"/>
      <c r="J6" s="613"/>
      <c r="K6" s="613"/>
      <c r="L6" s="613"/>
      <c r="M6" s="613"/>
      <c r="N6" s="613"/>
      <c r="O6" s="613"/>
      <c r="P6" s="613"/>
      <c r="Q6" s="613"/>
      <c r="R6" s="613"/>
      <c r="S6" s="613"/>
      <c r="T6" s="613"/>
      <c r="U6" s="613"/>
      <c r="V6" s="83"/>
      <c r="W6" s="92"/>
      <c r="X6" s="92"/>
      <c r="Y6" s="92"/>
      <c r="Z6" s="92"/>
      <c r="AA6" s="92"/>
      <c r="AB6" s="92"/>
      <c r="AC6" s="83"/>
      <c r="AD6" s="83"/>
      <c r="AE6" s="92"/>
      <c r="AF6" s="92"/>
      <c r="AG6" s="92"/>
      <c r="AH6" s="92"/>
      <c r="AI6" s="92"/>
      <c r="AJ6" s="92"/>
      <c r="AK6" s="82"/>
    </row>
    <row r="7" spans="1:37" s="11" customFormat="1" ht="15" customHeight="1" x14ac:dyDescent="0.2">
      <c r="A7" s="87" t="s">
        <v>623</v>
      </c>
      <c r="B7" s="452"/>
      <c r="C7" s="92"/>
      <c r="D7" s="53"/>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570"/>
      <c r="AG7" s="449"/>
      <c r="AH7" s="449"/>
      <c r="AI7" s="449"/>
      <c r="AJ7" s="449"/>
      <c r="AK7" s="50"/>
    </row>
    <row r="8" spans="1:37" s="29" customFormat="1" ht="15" customHeight="1" x14ac:dyDescent="0.2">
      <c r="A8" s="116">
        <v>8</v>
      </c>
      <c r="B8" s="97"/>
      <c r="C8" s="119"/>
      <c r="D8" s="119" t="s">
        <v>10</v>
      </c>
      <c r="E8" s="534">
        <f>IF(ISNUMBER(CoverSheet!$C$12),CoverSheet!$C$12,"")</f>
        <v>43190</v>
      </c>
      <c r="F8" s="185"/>
      <c r="G8" s="680" t="s">
        <v>394</v>
      </c>
      <c r="H8" s="680"/>
      <c r="I8" s="680"/>
      <c r="J8" s="680"/>
      <c r="K8" s="680"/>
      <c r="L8" s="680"/>
      <c r="M8" s="680"/>
      <c r="N8" s="680"/>
      <c r="O8" s="680"/>
      <c r="P8" s="680"/>
      <c r="Q8" s="680"/>
      <c r="R8" s="680"/>
      <c r="S8" s="680"/>
      <c r="T8" s="680"/>
      <c r="U8" s="680"/>
      <c r="V8" s="680"/>
      <c r="W8" s="680"/>
      <c r="X8" s="680"/>
      <c r="Y8" s="680"/>
      <c r="Z8" s="680"/>
      <c r="AA8" s="185"/>
      <c r="AB8" s="185"/>
      <c r="AC8" s="185"/>
      <c r="AD8" s="185"/>
      <c r="AE8" s="185"/>
      <c r="AF8" s="185"/>
      <c r="AG8" s="185"/>
      <c r="AH8" s="185"/>
      <c r="AI8" s="185"/>
      <c r="AJ8" s="185"/>
      <c r="AK8" s="84"/>
    </row>
    <row r="9" spans="1:37" ht="38.25" x14ac:dyDescent="0.2">
      <c r="A9" s="116">
        <v>9</v>
      </c>
      <c r="B9" s="97"/>
      <c r="C9" s="202" t="s">
        <v>20</v>
      </c>
      <c r="D9" s="168" t="s">
        <v>1</v>
      </c>
      <c r="E9" s="168" t="s">
        <v>21</v>
      </c>
      <c r="F9" s="226" t="s">
        <v>99</v>
      </c>
      <c r="G9" s="226" t="s">
        <v>279</v>
      </c>
      <c r="H9" s="226" t="s">
        <v>280</v>
      </c>
      <c r="I9" s="226" t="s">
        <v>274</v>
      </c>
      <c r="J9" s="226" t="s">
        <v>273</v>
      </c>
      <c r="K9" s="226" t="s">
        <v>320</v>
      </c>
      <c r="L9" s="226" t="s">
        <v>321</v>
      </c>
      <c r="M9" s="226" t="s">
        <v>322</v>
      </c>
      <c r="N9" s="226">
        <v>2000</v>
      </c>
      <c r="O9" s="226">
        <v>2001</v>
      </c>
      <c r="P9" s="226">
        <v>2002</v>
      </c>
      <c r="Q9" s="226">
        <v>2003</v>
      </c>
      <c r="R9" s="226">
        <v>2004</v>
      </c>
      <c r="S9" s="226">
        <v>2005</v>
      </c>
      <c r="T9" s="226">
        <v>2006</v>
      </c>
      <c r="U9" s="226">
        <v>2007</v>
      </c>
      <c r="V9" s="226">
        <v>2008</v>
      </c>
      <c r="W9" s="226">
        <v>2009</v>
      </c>
      <c r="X9" s="226">
        <v>2010</v>
      </c>
      <c r="Y9" s="226">
        <v>2011</v>
      </c>
      <c r="Z9" s="226">
        <v>2012</v>
      </c>
      <c r="AA9" s="226">
        <v>2013</v>
      </c>
      <c r="AB9" s="226">
        <v>2014</v>
      </c>
      <c r="AC9" s="226">
        <v>2015</v>
      </c>
      <c r="AD9" s="226">
        <v>2016</v>
      </c>
      <c r="AE9" s="226">
        <v>2017</v>
      </c>
      <c r="AF9" s="226">
        <v>2018</v>
      </c>
      <c r="AG9" s="320" t="s">
        <v>690</v>
      </c>
      <c r="AH9" s="321" t="s">
        <v>98</v>
      </c>
      <c r="AI9" s="226" t="s">
        <v>317</v>
      </c>
      <c r="AJ9" s="226" t="s">
        <v>318</v>
      </c>
      <c r="AK9" s="61"/>
    </row>
    <row r="10" spans="1:37" ht="15" customHeight="1" x14ac:dyDescent="0.2">
      <c r="A10" s="116">
        <v>10</v>
      </c>
      <c r="B10" s="97"/>
      <c r="C10" s="189" t="s">
        <v>22</v>
      </c>
      <c r="D10" s="169" t="s">
        <v>284</v>
      </c>
      <c r="E10" s="169" t="s">
        <v>23</v>
      </c>
      <c r="F10" s="179" t="s">
        <v>24</v>
      </c>
      <c r="G10" s="582">
        <v>0</v>
      </c>
      <c r="H10" s="596">
        <v>61</v>
      </c>
      <c r="I10" s="596">
        <v>3295</v>
      </c>
      <c r="J10" s="596">
        <v>5697</v>
      </c>
      <c r="K10" s="596">
        <v>4035</v>
      </c>
      <c r="L10" s="596">
        <v>2593</v>
      </c>
      <c r="M10" s="596">
        <v>1706</v>
      </c>
      <c r="N10" s="596">
        <v>145</v>
      </c>
      <c r="O10" s="596">
        <v>265</v>
      </c>
      <c r="P10" s="596">
        <v>478</v>
      </c>
      <c r="Q10" s="596">
        <v>426</v>
      </c>
      <c r="R10" s="596">
        <v>817</v>
      </c>
      <c r="S10" s="596">
        <v>475</v>
      </c>
      <c r="T10" s="596">
        <v>313</v>
      </c>
      <c r="U10" s="596">
        <v>282</v>
      </c>
      <c r="V10" s="596">
        <v>391</v>
      </c>
      <c r="W10" s="596">
        <v>356</v>
      </c>
      <c r="X10" s="596">
        <v>178</v>
      </c>
      <c r="Y10" s="596">
        <v>263</v>
      </c>
      <c r="Z10" s="596">
        <v>567</v>
      </c>
      <c r="AA10" s="596">
        <v>264</v>
      </c>
      <c r="AB10" s="596">
        <v>387</v>
      </c>
      <c r="AC10" s="596">
        <v>323</v>
      </c>
      <c r="AD10" s="596">
        <v>335</v>
      </c>
      <c r="AE10" s="596">
        <v>265</v>
      </c>
      <c r="AF10" s="596">
        <v>12</v>
      </c>
      <c r="AG10" s="582">
        <v>840</v>
      </c>
      <c r="AH10" s="455">
        <f t="shared" ref="AH10:AH60" si="0">SUM(G10:AG10)</f>
        <v>24769</v>
      </c>
      <c r="AI10" s="582">
        <v>0</v>
      </c>
      <c r="AJ10" s="597">
        <v>3</v>
      </c>
      <c r="AK10" s="37"/>
    </row>
    <row r="11" spans="1:37" ht="15" customHeight="1" x14ac:dyDescent="0.2">
      <c r="A11" s="116">
        <v>11</v>
      </c>
      <c r="B11" s="97"/>
      <c r="C11" s="189" t="s">
        <v>22</v>
      </c>
      <c r="D11" s="169" t="s">
        <v>284</v>
      </c>
      <c r="E11" s="169" t="s">
        <v>25</v>
      </c>
      <c r="F11" s="179" t="s">
        <v>24</v>
      </c>
      <c r="G11" s="582">
        <v>0</v>
      </c>
      <c r="H11" s="596">
        <v>9</v>
      </c>
      <c r="I11" s="596">
        <v>3465</v>
      </c>
      <c r="J11" s="596">
        <v>2132</v>
      </c>
      <c r="K11" s="596">
        <v>2550</v>
      </c>
      <c r="L11" s="596">
        <v>2053</v>
      </c>
      <c r="M11" s="596">
        <v>2297</v>
      </c>
      <c r="N11" s="596">
        <v>163</v>
      </c>
      <c r="O11" s="596">
        <v>355</v>
      </c>
      <c r="P11" s="596">
        <v>612</v>
      </c>
      <c r="Q11" s="596">
        <v>490</v>
      </c>
      <c r="R11" s="596">
        <v>552</v>
      </c>
      <c r="S11" s="596">
        <v>594</v>
      </c>
      <c r="T11" s="596">
        <v>408</v>
      </c>
      <c r="U11" s="596">
        <v>805</v>
      </c>
      <c r="V11" s="596">
        <v>648</v>
      </c>
      <c r="W11" s="596">
        <v>463</v>
      </c>
      <c r="X11" s="596">
        <v>237</v>
      </c>
      <c r="Y11" s="596">
        <v>264</v>
      </c>
      <c r="Z11" s="596">
        <v>415</v>
      </c>
      <c r="AA11" s="596">
        <v>476</v>
      </c>
      <c r="AB11" s="596">
        <v>311</v>
      </c>
      <c r="AC11" s="596">
        <v>219</v>
      </c>
      <c r="AD11" s="596">
        <v>203</v>
      </c>
      <c r="AE11" s="596">
        <v>108</v>
      </c>
      <c r="AF11" s="596">
        <v>4</v>
      </c>
      <c r="AG11" s="582">
        <v>1769</v>
      </c>
      <c r="AH11" s="455">
        <f t="shared" si="0"/>
        <v>21602</v>
      </c>
      <c r="AI11" s="582">
        <v>0</v>
      </c>
      <c r="AJ11" s="597">
        <v>3</v>
      </c>
      <c r="AK11" s="37"/>
    </row>
    <row r="12" spans="1:37" ht="15" customHeight="1" x14ac:dyDescent="0.2">
      <c r="A12" s="116">
        <v>12</v>
      </c>
      <c r="B12" s="97"/>
      <c r="C12" s="189" t="s">
        <v>22</v>
      </c>
      <c r="D12" s="169" t="s">
        <v>284</v>
      </c>
      <c r="E12" s="169" t="s">
        <v>26</v>
      </c>
      <c r="F12" s="179" t="s">
        <v>24</v>
      </c>
      <c r="G12" s="582">
        <v>0</v>
      </c>
      <c r="H12" s="596">
        <v>0</v>
      </c>
      <c r="I12" s="596">
        <v>63</v>
      </c>
      <c r="J12" s="596">
        <v>60</v>
      </c>
      <c r="K12" s="596">
        <v>52</v>
      </c>
      <c r="L12" s="596">
        <v>25</v>
      </c>
      <c r="M12" s="596">
        <v>27</v>
      </c>
      <c r="N12" s="596">
        <v>1</v>
      </c>
      <c r="O12" s="596">
        <v>0</v>
      </c>
      <c r="P12" s="596">
        <v>2</v>
      </c>
      <c r="Q12" s="596">
        <v>3</v>
      </c>
      <c r="R12" s="596">
        <v>0</v>
      </c>
      <c r="S12" s="596">
        <v>0</v>
      </c>
      <c r="T12" s="596">
        <v>0</v>
      </c>
      <c r="U12" s="596">
        <v>2</v>
      </c>
      <c r="V12" s="596">
        <v>2</v>
      </c>
      <c r="W12" s="596">
        <v>7</v>
      </c>
      <c r="X12" s="596">
        <v>2</v>
      </c>
      <c r="Y12" s="596">
        <v>4</v>
      </c>
      <c r="Z12" s="596">
        <v>6</v>
      </c>
      <c r="AA12" s="596">
        <v>1</v>
      </c>
      <c r="AB12" s="596">
        <v>0</v>
      </c>
      <c r="AC12" s="596">
        <v>0</v>
      </c>
      <c r="AD12" s="596">
        <v>0</v>
      </c>
      <c r="AE12" s="596">
        <v>0</v>
      </c>
      <c r="AF12" s="596">
        <v>0</v>
      </c>
      <c r="AG12" s="582">
        <v>72</v>
      </c>
      <c r="AH12" s="455">
        <f t="shared" si="0"/>
        <v>329</v>
      </c>
      <c r="AI12" s="582">
        <v>0</v>
      </c>
      <c r="AJ12" s="597">
        <v>3</v>
      </c>
      <c r="AK12" s="37"/>
    </row>
    <row r="13" spans="1:37" ht="15" customHeight="1" x14ac:dyDescent="0.2">
      <c r="A13" s="116">
        <v>13</v>
      </c>
      <c r="B13" s="97"/>
      <c r="C13" s="189" t="s">
        <v>29</v>
      </c>
      <c r="D13" s="169" t="s">
        <v>285</v>
      </c>
      <c r="E13" s="169" t="s">
        <v>30</v>
      </c>
      <c r="F13" s="179" t="s">
        <v>31</v>
      </c>
      <c r="G13" s="582">
        <v>0</v>
      </c>
      <c r="H13" s="596">
        <v>0</v>
      </c>
      <c r="I13" s="596">
        <v>7.08</v>
      </c>
      <c r="J13" s="596">
        <v>37.83</v>
      </c>
      <c r="K13" s="596">
        <v>42.29</v>
      </c>
      <c r="L13" s="596">
        <v>11.1</v>
      </c>
      <c r="M13" s="596">
        <v>56.91</v>
      </c>
      <c r="N13" s="596">
        <v>6.3</v>
      </c>
      <c r="O13" s="596">
        <v>0</v>
      </c>
      <c r="P13" s="596">
        <v>8.27</v>
      </c>
      <c r="Q13" s="596">
        <v>14.14</v>
      </c>
      <c r="R13" s="596">
        <v>0.05</v>
      </c>
      <c r="S13" s="596">
        <v>0</v>
      </c>
      <c r="T13" s="596">
        <v>0.81</v>
      </c>
      <c r="U13" s="596">
        <v>0</v>
      </c>
      <c r="V13" s="596">
        <v>0</v>
      </c>
      <c r="W13" s="596">
        <v>0</v>
      </c>
      <c r="X13" s="596">
        <v>1.17</v>
      </c>
      <c r="Y13" s="596">
        <v>0.01</v>
      </c>
      <c r="Z13" s="596">
        <v>0.13</v>
      </c>
      <c r="AA13" s="596">
        <v>21.09</v>
      </c>
      <c r="AB13" s="596">
        <v>31.29</v>
      </c>
      <c r="AC13" s="596">
        <v>0.02</v>
      </c>
      <c r="AD13" s="596">
        <v>12.08</v>
      </c>
      <c r="AE13" s="596">
        <v>0.02</v>
      </c>
      <c r="AF13" s="596">
        <v>0</v>
      </c>
      <c r="AG13" s="582">
        <v>0</v>
      </c>
      <c r="AH13" s="455">
        <f t="shared" si="0"/>
        <v>250.59000000000003</v>
      </c>
      <c r="AI13" s="582">
        <v>0</v>
      </c>
      <c r="AJ13" s="597">
        <v>3</v>
      </c>
      <c r="AK13" s="37"/>
    </row>
    <row r="14" spans="1:37" ht="15" customHeight="1" x14ac:dyDescent="0.2">
      <c r="A14" s="116">
        <v>14</v>
      </c>
      <c r="B14" s="97"/>
      <c r="C14" s="189" t="s">
        <v>29</v>
      </c>
      <c r="D14" s="169" t="s">
        <v>285</v>
      </c>
      <c r="E14" s="169" t="s">
        <v>32</v>
      </c>
      <c r="F14" s="179" t="s">
        <v>31</v>
      </c>
      <c r="G14" s="582">
        <v>0</v>
      </c>
      <c r="H14" s="596">
        <v>0</v>
      </c>
      <c r="I14" s="596">
        <v>0</v>
      </c>
      <c r="J14" s="596">
        <v>0</v>
      </c>
      <c r="K14" s="596">
        <v>0</v>
      </c>
      <c r="L14" s="596">
        <v>0</v>
      </c>
      <c r="M14" s="596">
        <v>0</v>
      </c>
      <c r="N14" s="596">
        <v>0</v>
      </c>
      <c r="O14" s="596">
        <v>0</v>
      </c>
      <c r="P14" s="596">
        <v>0</v>
      </c>
      <c r="Q14" s="596">
        <v>0</v>
      </c>
      <c r="R14" s="596">
        <v>0</v>
      </c>
      <c r="S14" s="596">
        <v>0</v>
      </c>
      <c r="T14" s="596">
        <v>0</v>
      </c>
      <c r="U14" s="596">
        <v>0</v>
      </c>
      <c r="V14" s="596">
        <v>0</v>
      </c>
      <c r="W14" s="596">
        <v>0</v>
      </c>
      <c r="X14" s="596">
        <v>0</v>
      </c>
      <c r="Y14" s="596">
        <v>0</v>
      </c>
      <c r="Z14" s="596">
        <v>0</v>
      </c>
      <c r="AA14" s="596">
        <v>0</v>
      </c>
      <c r="AB14" s="596">
        <v>0</v>
      </c>
      <c r="AC14" s="596">
        <v>0</v>
      </c>
      <c r="AD14" s="596">
        <v>0</v>
      </c>
      <c r="AE14" s="596">
        <v>0</v>
      </c>
      <c r="AF14" s="596">
        <v>0</v>
      </c>
      <c r="AG14" s="582">
        <v>0</v>
      </c>
      <c r="AH14" s="455">
        <f t="shared" si="0"/>
        <v>0</v>
      </c>
      <c r="AI14" s="582">
        <v>0</v>
      </c>
      <c r="AJ14" s="597">
        <v>4</v>
      </c>
      <c r="AK14" s="37"/>
    </row>
    <row r="15" spans="1:37" ht="15" customHeight="1" x14ac:dyDescent="0.2">
      <c r="A15" s="116">
        <v>15</v>
      </c>
      <c r="B15" s="97"/>
      <c r="C15" s="189" t="s">
        <v>29</v>
      </c>
      <c r="D15" s="169" t="s">
        <v>286</v>
      </c>
      <c r="E15" s="169" t="s">
        <v>33</v>
      </c>
      <c r="F15" s="179" t="s">
        <v>31</v>
      </c>
      <c r="G15" s="582">
        <v>0</v>
      </c>
      <c r="H15" s="596">
        <v>0</v>
      </c>
      <c r="I15" s="596">
        <v>0</v>
      </c>
      <c r="J15" s="596">
        <v>0</v>
      </c>
      <c r="K15" s="596">
        <v>0.03</v>
      </c>
      <c r="L15" s="596">
        <v>2.23</v>
      </c>
      <c r="M15" s="596">
        <v>1.54</v>
      </c>
      <c r="N15" s="596">
        <v>0</v>
      </c>
      <c r="O15" s="596">
        <v>0</v>
      </c>
      <c r="P15" s="596">
        <v>0</v>
      </c>
      <c r="Q15" s="596">
        <v>0.4</v>
      </c>
      <c r="R15" s="596">
        <v>0.46</v>
      </c>
      <c r="S15" s="596">
        <v>23.11</v>
      </c>
      <c r="T15" s="596">
        <v>0</v>
      </c>
      <c r="U15" s="596">
        <v>0</v>
      </c>
      <c r="V15" s="596">
        <v>0</v>
      </c>
      <c r="W15" s="596">
        <v>0</v>
      </c>
      <c r="X15" s="596">
        <v>0</v>
      </c>
      <c r="Y15" s="596">
        <v>0.09</v>
      </c>
      <c r="Z15" s="596">
        <v>0</v>
      </c>
      <c r="AA15" s="596">
        <v>0</v>
      </c>
      <c r="AB15" s="596">
        <v>0.03</v>
      </c>
      <c r="AC15" s="596">
        <v>0</v>
      </c>
      <c r="AD15" s="596">
        <v>1.88</v>
      </c>
      <c r="AE15" s="596">
        <v>0</v>
      </c>
      <c r="AF15" s="596">
        <v>0</v>
      </c>
      <c r="AG15" s="582">
        <v>0.13</v>
      </c>
      <c r="AH15" s="455">
        <f t="shared" si="0"/>
        <v>29.9</v>
      </c>
      <c r="AI15" s="582">
        <v>0</v>
      </c>
      <c r="AJ15" s="597">
        <v>4</v>
      </c>
      <c r="AK15" s="37"/>
    </row>
    <row r="16" spans="1:37" ht="15" customHeight="1" x14ac:dyDescent="0.2">
      <c r="A16" s="116">
        <v>16</v>
      </c>
      <c r="B16" s="97"/>
      <c r="C16" s="189" t="s">
        <v>29</v>
      </c>
      <c r="D16" s="169" t="s">
        <v>286</v>
      </c>
      <c r="E16" s="169" t="s">
        <v>34</v>
      </c>
      <c r="F16" s="179" t="s">
        <v>31</v>
      </c>
      <c r="G16" s="582">
        <v>0</v>
      </c>
      <c r="H16" s="596">
        <v>0</v>
      </c>
      <c r="I16" s="596">
        <v>0</v>
      </c>
      <c r="J16" s="596">
        <v>0</v>
      </c>
      <c r="K16" s="596">
        <v>0</v>
      </c>
      <c r="L16" s="596">
        <v>0</v>
      </c>
      <c r="M16" s="596">
        <v>0</v>
      </c>
      <c r="N16" s="596">
        <v>0</v>
      </c>
      <c r="O16" s="596">
        <v>0</v>
      </c>
      <c r="P16" s="596">
        <v>0</v>
      </c>
      <c r="Q16" s="596">
        <v>0</v>
      </c>
      <c r="R16" s="596">
        <v>0</v>
      </c>
      <c r="S16" s="596">
        <v>0</v>
      </c>
      <c r="T16" s="596">
        <v>0</v>
      </c>
      <c r="U16" s="596">
        <v>0</v>
      </c>
      <c r="V16" s="596">
        <v>0</v>
      </c>
      <c r="W16" s="596">
        <v>0</v>
      </c>
      <c r="X16" s="596">
        <v>0</v>
      </c>
      <c r="Y16" s="596">
        <v>0</v>
      </c>
      <c r="Z16" s="596">
        <v>0</v>
      </c>
      <c r="AA16" s="596">
        <v>0</v>
      </c>
      <c r="AB16" s="596">
        <v>0</v>
      </c>
      <c r="AC16" s="596">
        <v>0</v>
      </c>
      <c r="AD16" s="596">
        <v>0</v>
      </c>
      <c r="AE16" s="596">
        <v>0</v>
      </c>
      <c r="AF16" s="596">
        <v>0</v>
      </c>
      <c r="AG16" s="582">
        <v>0</v>
      </c>
      <c r="AH16" s="455">
        <f t="shared" si="0"/>
        <v>0</v>
      </c>
      <c r="AI16" s="582">
        <v>0</v>
      </c>
      <c r="AJ16" s="597" t="s">
        <v>958</v>
      </c>
      <c r="AK16" s="37"/>
    </row>
    <row r="17" spans="1:37" ht="15" customHeight="1" x14ac:dyDescent="0.2">
      <c r="A17" s="116">
        <v>17</v>
      </c>
      <c r="B17" s="97"/>
      <c r="C17" s="189" t="s">
        <v>29</v>
      </c>
      <c r="D17" s="169" t="s">
        <v>286</v>
      </c>
      <c r="E17" s="169" t="s">
        <v>35</v>
      </c>
      <c r="F17" s="179" t="s">
        <v>31</v>
      </c>
      <c r="G17" s="582">
        <v>0</v>
      </c>
      <c r="H17" s="596">
        <v>0</v>
      </c>
      <c r="I17" s="596">
        <v>0</v>
      </c>
      <c r="J17" s="596">
        <v>0</v>
      </c>
      <c r="K17" s="596">
        <v>0</v>
      </c>
      <c r="L17" s="596">
        <v>0</v>
      </c>
      <c r="M17" s="596">
        <v>0</v>
      </c>
      <c r="N17" s="596">
        <v>0</v>
      </c>
      <c r="O17" s="596">
        <v>0</v>
      </c>
      <c r="P17" s="596">
        <v>0</v>
      </c>
      <c r="Q17" s="596">
        <v>0</v>
      </c>
      <c r="R17" s="596">
        <v>0</v>
      </c>
      <c r="S17" s="596">
        <v>0</v>
      </c>
      <c r="T17" s="596">
        <v>0</v>
      </c>
      <c r="U17" s="596">
        <v>0</v>
      </c>
      <c r="V17" s="596">
        <v>0</v>
      </c>
      <c r="W17" s="596">
        <v>0</v>
      </c>
      <c r="X17" s="596">
        <v>0</v>
      </c>
      <c r="Y17" s="596">
        <v>0</v>
      </c>
      <c r="Z17" s="596">
        <v>0</v>
      </c>
      <c r="AA17" s="596">
        <v>0</v>
      </c>
      <c r="AB17" s="596">
        <v>0</v>
      </c>
      <c r="AC17" s="596">
        <v>0</v>
      </c>
      <c r="AD17" s="596">
        <v>0</v>
      </c>
      <c r="AE17" s="596">
        <v>0</v>
      </c>
      <c r="AF17" s="596">
        <v>0</v>
      </c>
      <c r="AG17" s="582">
        <v>0</v>
      </c>
      <c r="AH17" s="455">
        <f t="shared" si="0"/>
        <v>0</v>
      </c>
      <c r="AI17" s="582">
        <v>0</v>
      </c>
      <c r="AJ17" s="597" t="s">
        <v>958</v>
      </c>
      <c r="AK17" s="37"/>
    </row>
    <row r="18" spans="1:37" ht="15" customHeight="1" x14ac:dyDescent="0.2">
      <c r="A18" s="116">
        <v>18</v>
      </c>
      <c r="B18" s="97"/>
      <c r="C18" s="189" t="s">
        <v>29</v>
      </c>
      <c r="D18" s="169" t="s">
        <v>286</v>
      </c>
      <c r="E18" s="169" t="s">
        <v>36</v>
      </c>
      <c r="F18" s="179" t="s">
        <v>31</v>
      </c>
      <c r="G18" s="582">
        <v>0</v>
      </c>
      <c r="H18" s="596">
        <v>0</v>
      </c>
      <c r="I18" s="596">
        <v>0</v>
      </c>
      <c r="J18" s="596">
        <v>0</v>
      </c>
      <c r="K18" s="596">
        <v>0</v>
      </c>
      <c r="L18" s="596">
        <v>0</v>
      </c>
      <c r="M18" s="596">
        <v>0</v>
      </c>
      <c r="N18" s="596">
        <v>0</v>
      </c>
      <c r="O18" s="596">
        <v>0</v>
      </c>
      <c r="P18" s="596">
        <v>0</v>
      </c>
      <c r="Q18" s="596">
        <v>0</v>
      </c>
      <c r="R18" s="596">
        <v>0</v>
      </c>
      <c r="S18" s="596">
        <v>0</v>
      </c>
      <c r="T18" s="596">
        <v>0</v>
      </c>
      <c r="U18" s="596">
        <v>0</v>
      </c>
      <c r="V18" s="596">
        <v>0</v>
      </c>
      <c r="W18" s="596">
        <v>0</v>
      </c>
      <c r="X18" s="596">
        <v>0</v>
      </c>
      <c r="Y18" s="596">
        <v>0</v>
      </c>
      <c r="Z18" s="596">
        <v>0</v>
      </c>
      <c r="AA18" s="596">
        <v>0</v>
      </c>
      <c r="AB18" s="596">
        <v>0</v>
      </c>
      <c r="AC18" s="596">
        <v>0</v>
      </c>
      <c r="AD18" s="596">
        <v>0</v>
      </c>
      <c r="AE18" s="596">
        <v>0</v>
      </c>
      <c r="AF18" s="596">
        <v>0</v>
      </c>
      <c r="AG18" s="582">
        <v>0</v>
      </c>
      <c r="AH18" s="455">
        <f t="shared" si="0"/>
        <v>0</v>
      </c>
      <c r="AI18" s="582">
        <v>0</v>
      </c>
      <c r="AJ18" s="597" t="s">
        <v>958</v>
      </c>
      <c r="AK18" s="37"/>
    </row>
    <row r="19" spans="1:37" ht="15" customHeight="1" x14ac:dyDescent="0.2">
      <c r="A19" s="116">
        <v>19</v>
      </c>
      <c r="B19" s="97"/>
      <c r="C19" s="189" t="s">
        <v>29</v>
      </c>
      <c r="D19" s="169" t="s">
        <v>286</v>
      </c>
      <c r="E19" s="169" t="s">
        <v>37</v>
      </c>
      <c r="F19" s="179" t="s">
        <v>31</v>
      </c>
      <c r="G19" s="582">
        <v>0</v>
      </c>
      <c r="H19" s="596">
        <v>0</v>
      </c>
      <c r="I19" s="596">
        <v>0</v>
      </c>
      <c r="J19" s="596">
        <v>0</v>
      </c>
      <c r="K19" s="596">
        <v>0</v>
      </c>
      <c r="L19" s="596">
        <v>0</v>
      </c>
      <c r="M19" s="596">
        <v>0</v>
      </c>
      <c r="N19" s="596">
        <v>0</v>
      </c>
      <c r="O19" s="596">
        <v>0</v>
      </c>
      <c r="P19" s="596">
        <v>0</v>
      </c>
      <c r="Q19" s="596">
        <v>0</v>
      </c>
      <c r="R19" s="596">
        <v>0</v>
      </c>
      <c r="S19" s="596">
        <v>0</v>
      </c>
      <c r="T19" s="596">
        <v>0</v>
      </c>
      <c r="U19" s="596">
        <v>0</v>
      </c>
      <c r="V19" s="596">
        <v>0</v>
      </c>
      <c r="W19" s="596">
        <v>0</v>
      </c>
      <c r="X19" s="596">
        <v>0</v>
      </c>
      <c r="Y19" s="596">
        <v>0</v>
      </c>
      <c r="Z19" s="596">
        <v>0</v>
      </c>
      <c r="AA19" s="596">
        <v>0</v>
      </c>
      <c r="AB19" s="596">
        <v>0</v>
      </c>
      <c r="AC19" s="596">
        <v>0</v>
      </c>
      <c r="AD19" s="596">
        <v>0</v>
      </c>
      <c r="AE19" s="596">
        <v>0</v>
      </c>
      <c r="AF19" s="596">
        <v>0</v>
      </c>
      <c r="AG19" s="582">
        <v>0</v>
      </c>
      <c r="AH19" s="455">
        <f t="shared" si="0"/>
        <v>0</v>
      </c>
      <c r="AI19" s="582">
        <v>0</v>
      </c>
      <c r="AJ19" s="597" t="s">
        <v>958</v>
      </c>
      <c r="AK19" s="37"/>
    </row>
    <row r="20" spans="1:37" ht="15" customHeight="1" x14ac:dyDescent="0.2">
      <c r="A20" s="116">
        <v>20</v>
      </c>
      <c r="B20" s="97"/>
      <c r="C20" s="189" t="s">
        <v>29</v>
      </c>
      <c r="D20" s="169" t="s">
        <v>286</v>
      </c>
      <c r="E20" s="169" t="s">
        <v>38</v>
      </c>
      <c r="F20" s="179" t="s">
        <v>31</v>
      </c>
      <c r="G20" s="582">
        <v>0</v>
      </c>
      <c r="H20" s="596">
        <v>0</v>
      </c>
      <c r="I20" s="596">
        <v>0</v>
      </c>
      <c r="J20" s="596">
        <v>0</v>
      </c>
      <c r="K20" s="596">
        <v>0</v>
      </c>
      <c r="L20" s="596">
        <v>0</v>
      </c>
      <c r="M20" s="596">
        <v>0</v>
      </c>
      <c r="N20" s="596">
        <v>0</v>
      </c>
      <c r="O20" s="596">
        <v>0</v>
      </c>
      <c r="P20" s="596">
        <v>0</v>
      </c>
      <c r="Q20" s="596">
        <v>0</v>
      </c>
      <c r="R20" s="596">
        <v>0</v>
      </c>
      <c r="S20" s="596">
        <v>0</v>
      </c>
      <c r="T20" s="596">
        <v>0</v>
      </c>
      <c r="U20" s="596">
        <v>0</v>
      </c>
      <c r="V20" s="596">
        <v>0</v>
      </c>
      <c r="W20" s="596">
        <v>0</v>
      </c>
      <c r="X20" s="596">
        <v>0</v>
      </c>
      <c r="Y20" s="596">
        <v>0</v>
      </c>
      <c r="Z20" s="596">
        <v>0</v>
      </c>
      <c r="AA20" s="596">
        <v>0</v>
      </c>
      <c r="AB20" s="596">
        <v>0</v>
      </c>
      <c r="AC20" s="596">
        <v>0</v>
      </c>
      <c r="AD20" s="596">
        <v>0</v>
      </c>
      <c r="AE20" s="596">
        <v>0</v>
      </c>
      <c r="AF20" s="596">
        <v>0</v>
      </c>
      <c r="AG20" s="582">
        <v>0</v>
      </c>
      <c r="AH20" s="455">
        <f t="shared" si="0"/>
        <v>0</v>
      </c>
      <c r="AI20" s="582">
        <v>0</v>
      </c>
      <c r="AJ20" s="597" t="s">
        <v>958</v>
      </c>
      <c r="AK20" s="37"/>
    </row>
    <row r="21" spans="1:37" ht="15" customHeight="1" x14ac:dyDescent="0.2">
      <c r="A21" s="116">
        <v>21</v>
      </c>
      <c r="B21" s="97"/>
      <c r="C21" s="189" t="s">
        <v>29</v>
      </c>
      <c r="D21" s="169" t="s">
        <v>286</v>
      </c>
      <c r="E21" s="169" t="s">
        <v>39</v>
      </c>
      <c r="F21" s="179" t="s">
        <v>31</v>
      </c>
      <c r="G21" s="582">
        <v>0</v>
      </c>
      <c r="H21" s="596">
        <v>0</v>
      </c>
      <c r="I21" s="596">
        <v>0</v>
      </c>
      <c r="J21" s="596">
        <v>0</v>
      </c>
      <c r="K21" s="596">
        <v>0</v>
      </c>
      <c r="L21" s="596">
        <v>0</v>
      </c>
      <c r="M21" s="596">
        <v>0</v>
      </c>
      <c r="N21" s="596">
        <v>0</v>
      </c>
      <c r="O21" s="596">
        <v>0</v>
      </c>
      <c r="P21" s="596">
        <v>0</v>
      </c>
      <c r="Q21" s="596">
        <v>0</v>
      </c>
      <c r="R21" s="596">
        <v>0</v>
      </c>
      <c r="S21" s="596">
        <v>0</v>
      </c>
      <c r="T21" s="596">
        <v>0</v>
      </c>
      <c r="U21" s="596">
        <v>0</v>
      </c>
      <c r="V21" s="596">
        <v>0</v>
      </c>
      <c r="W21" s="596">
        <v>0</v>
      </c>
      <c r="X21" s="596">
        <v>0</v>
      </c>
      <c r="Y21" s="596">
        <v>0</v>
      </c>
      <c r="Z21" s="596">
        <v>0</v>
      </c>
      <c r="AA21" s="596">
        <v>0</v>
      </c>
      <c r="AB21" s="596">
        <v>0</v>
      </c>
      <c r="AC21" s="596">
        <v>0</v>
      </c>
      <c r="AD21" s="596">
        <v>0</v>
      </c>
      <c r="AE21" s="596">
        <v>0</v>
      </c>
      <c r="AF21" s="596">
        <v>0</v>
      </c>
      <c r="AG21" s="582">
        <v>0</v>
      </c>
      <c r="AH21" s="455">
        <f t="shared" si="0"/>
        <v>0</v>
      </c>
      <c r="AI21" s="582">
        <v>0</v>
      </c>
      <c r="AJ21" s="597" t="s">
        <v>958</v>
      </c>
      <c r="AK21" s="37"/>
    </row>
    <row r="22" spans="1:37" ht="15" customHeight="1" x14ac:dyDescent="0.2">
      <c r="A22" s="116">
        <v>22</v>
      </c>
      <c r="B22" s="97"/>
      <c r="C22" s="189" t="s">
        <v>29</v>
      </c>
      <c r="D22" s="169" t="s">
        <v>286</v>
      </c>
      <c r="E22" s="169" t="s">
        <v>40</v>
      </c>
      <c r="F22" s="179" t="s">
        <v>31</v>
      </c>
      <c r="G22" s="582">
        <v>0</v>
      </c>
      <c r="H22" s="596">
        <v>0</v>
      </c>
      <c r="I22" s="596">
        <v>0</v>
      </c>
      <c r="J22" s="596">
        <v>0</v>
      </c>
      <c r="K22" s="596">
        <v>0</v>
      </c>
      <c r="L22" s="596">
        <v>0</v>
      </c>
      <c r="M22" s="596">
        <v>0</v>
      </c>
      <c r="N22" s="596">
        <v>0</v>
      </c>
      <c r="O22" s="596">
        <v>0</v>
      </c>
      <c r="P22" s="596">
        <v>0</v>
      </c>
      <c r="Q22" s="596">
        <v>0</v>
      </c>
      <c r="R22" s="596">
        <v>0</v>
      </c>
      <c r="S22" s="596">
        <v>0</v>
      </c>
      <c r="T22" s="596">
        <v>0</v>
      </c>
      <c r="U22" s="596">
        <v>0</v>
      </c>
      <c r="V22" s="596">
        <v>0</v>
      </c>
      <c r="W22" s="596">
        <v>0</v>
      </c>
      <c r="X22" s="596">
        <v>0</v>
      </c>
      <c r="Y22" s="596">
        <v>0</v>
      </c>
      <c r="Z22" s="596">
        <v>0</v>
      </c>
      <c r="AA22" s="596">
        <v>0</v>
      </c>
      <c r="AB22" s="596">
        <v>0</v>
      </c>
      <c r="AC22" s="596">
        <v>0</v>
      </c>
      <c r="AD22" s="596">
        <v>0</v>
      </c>
      <c r="AE22" s="596">
        <v>0</v>
      </c>
      <c r="AF22" s="596">
        <v>0</v>
      </c>
      <c r="AG22" s="582">
        <v>0</v>
      </c>
      <c r="AH22" s="455">
        <f t="shared" si="0"/>
        <v>0</v>
      </c>
      <c r="AI22" s="582">
        <v>0</v>
      </c>
      <c r="AJ22" s="597" t="s">
        <v>958</v>
      </c>
      <c r="AK22" s="37"/>
    </row>
    <row r="23" spans="1:37" ht="15" customHeight="1" x14ac:dyDescent="0.2">
      <c r="A23" s="116">
        <v>23</v>
      </c>
      <c r="B23" s="97"/>
      <c r="C23" s="189" t="s">
        <v>29</v>
      </c>
      <c r="D23" s="169" t="s">
        <v>286</v>
      </c>
      <c r="E23" s="169" t="s">
        <v>41</v>
      </c>
      <c r="F23" s="179" t="s">
        <v>31</v>
      </c>
      <c r="G23" s="582">
        <v>0</v>
      </c>
      <c r="H23" s="596">
        <v>0</v>
      </c>
      <c r="I23" s="596">
        <v>0</v>
      </c>
      <c r="J23" s="596">
        <v>0</v>
      </c>
      <c r="K23" s="596">
        <v>0</v>
      </c>
      <c r="L23" s="596">
        <v>0</v>
      </c>
      <c r="M23" s="596">
        <v>0</v>
      </c>
      <c r="N23" s="596">
        <v>0</v>
      </c>
      <c r="O23" s="596">
        <v>0</v>
      </c>
      <c r="P23" s="596">
        <v>0</v>
      </c>
      <c r="Q23" s="596">
        <v>0</v>
      </c>
      <c r="R23" s="596">
        <v>0</v>
      </c>
      <c r="S23" s="596">
        <v>0</v>
      </c>
      <c r="T23" s="596">
        <v>0</v>
      </c>
      <c r="U23" s="596">
        <v>0</v>
      </c>
      <c r="V23" s="596">
        <v>0</v>
      </c>
      <c r="W23" s="596">
        <v>0</v>
      </c>
      <c r="X23" s="596">
        <v>0</v>
      </c>
      <c r="Y23" s="596">
        <v>0</v>
      </c>
      <c r="Z23" s="596">
        <v>0</v>
      </c>
      <c r="AA23" s="596">
        <v>0</v>
      </c>
      <c r="AB23" s="596">
        <v>0</v>
      </c>
      <c r="AC23" s="596">
        <v>0</v>
      </c>
      <c r="AD23" s="596">
        <v>0</v>
      </c>
      <c r="AE23" s="596">
        <v>0</v>
      </c>
      <c r="AF23" s="596">
        <v>0</v>
      </c>
      <c r="AG23" s="582">
        <v>0</v>
      </c>
      <c r="AH23" s="455">
        <f t="shared" si="0"/>
        <v>0</v>
      </c>
      <c r="AI23" s="582">
        <v>0</v>
      </c>
      <c r="AJ23" s="597" t="s">
        <v>958</v>
      </c>
      <c r="AK23" s="37"/>
    </row>
    <row r="24" spans="1:37" ht="15" customHeight="1" x14ac:dyDescent="0.2">
      <c r="A24" s="116">
        <v>24</v>
      </c>
      <c r="B24" s="97"/>
      <c r="C24" s="189" t="s">
        <v>29</v>
      </c>
      <c r="D24" s="169" t="s">
        <v>287</v>
      </c>
      <c r="E24" s="169" t="s">
        <v>42</v>
      </c>
      <c r="F24" s="179" t="s">
        <v>24</v>
      </c>
      <c r="G24" s="582">
        <v>0</v>
      </c>
      <c r="H24" s="596">
        <v>0</v>
      </c>
      <c r="I24" s="596">
        <v>1</v>
      </c>
      <c r="J24" s="596">
        <v>2</v>
      </c>
      <c r="K24" s="596">
        <v>3</v>
      </c>
      <c r="L24" s="596">
        <v>5</v>
      </c>
      <c r="M24" s="596">
        <v>1</v>
      </c>
      <c r="N24" s="596">
        <v>0</v>
      </c>
      <c r="O24" s="596">
        <v>0</v>
      </c>
      <c r="P24" s="596">
        <v>0</v>
      </c>
      <c r="Q24" s="596">
        <v>1</v>
      </c>
      <c r="R24" s="596">
        <v>2</v>
      </c>
      <c r="S24" s="596">
        <v>0</v>
      </c>
      <c r="T24" s="596">
        <v>0</v>
      </c>
      <c r="U24" s="596">
        <v>0</v>
      </c>
      <c r="V24" s="596">
        <v>0</v>
      </c>
      <c r="W24" s="596" t="s">
        <v>7</v>
      </c>
      <c r="X24" s="596">
        <v>0</v>
      </c>
      <c r="Y24" s="596">
        <v>2</v>
      </c>
      <c r="Z24" s="596">
        <v>1</v>
      </c>
      <c r="AA24" s="596">
        <v>1</v>
      </c>
      <c r="AB24" s="596">
        <v>1</v>
      </c>
      <c r="AC24" s="596">
        <v>0</v>
      </c>
      <c r="AD24" s="596">
        <v>0</v>
      </c>
      <c r="AE24" s="596">
        <v>0</v>
      </c>
      <c r="AF24" s="596" t="s">
        <v>7</v>
      </c>
      <c r="AG24" s="582">
        <v>0</v>
      </c>
      <c r="AH24" s="455">
        <f t="shared" si="0"/>
        <v>20</v>
      </c>
      <c r="AI24" s="582">
        <v>0</v>
      </c>
      <c r="AJ24" s="597">
        <v>4</v>
      </c>
      <c r="AK24" s="37"/>
    </row>
    <row r="25" spans="1:37" ht="15" customHeight="1" x14ac:dyDescent="0.2">
      <c r="A25" s="116">
        <v>25</v>
      </c>
      <c r="B25" s="97"/>
      <c r="C25" s="189" t="s">
        <v>29</v>
      </c>
      <c r="D25" s="169" t="s">
        <v>287</v>
      </c>
      <c r="E25" s="169" t="s">
        <v>43</v>
      </c>
      <c r="F25" s="179" t="s">
        <v>24</v>
      </c>
      <c r="G25" s="582">
        <v>0</v>
      </c>
      <c r="H25" s="596">
        <v>0</v>
      </c>
      <c r="I25" s="596">
        <v>0</v>
      </c>
      <c r="J25" s="596">
        <v>0</v>
      </c>
      <c r="K25" s="596">
        <v>0</v>
      </c>
      <c r="L25" s="596">
        <v>0</v>
      </c>
      <c r="M25" s="596">
        <v>0</v>
      </c>
      <c r="N25" s="596">
        <v>0</v>
      </c>
      <c r="O25" s="596">
        <v>0</v>
      </c>
      <c r="P25" s="596">
        <v>0</v>
      </c>
      <c r="Q25" s="596">
        <v>0</v>
      </c>
      <c r="R25" s="596">
        <v>0</v>
      </c>
      <c r="S25" s="596">
        <v>0</v>
      </c>
      <c r="T25" s="596">
        <v>0</v>
      </c>
      <c r="U25" s="596">
        <v>0</v>
      </c>
      <c r="V25" s="596">
        <v>0</v>
      </c>
      <c r="W25" s="282">
        <v>1</v>
      </c>
      <c r="X25" s="596">
        <v>0</v>
      </c>
      <c r="Y25" s="596">
        <v>0</v>
      </c>
      <c r="Z25" s="596">
        <v>0</v>
      </c>
      <c r="AA25" s="596">
        <v>0</v>
      </c>
      <c r="AB25" s="596">
        <v>0</v>
      </c>
      <c r="AC25" s="596">
        <v>0</v>
      </c>
      <c r="AD25" s="596">
        <v>0</v>
      </c>
      <c r="AE25" s="596">
        <v>0</v>
      </c>
      <c r="AF25" s="596">
        <v>1</v>
      </c>
      <c r="AG25" s="582">
        <v>0</v>
      </c>
      <c r="AH25" s="455">
        <f t="shared" si="0"/>
        <v>2</v>
      </c>
      <c r="AI25" s="582">
        <v>0</v>
      </c>
      <c r="AJ25" s="597">
        <v>4</v>
      </c>
      <c r="AK25" s="37"/>
    </row>
    <row r="26" spans="1:37" ht="15" customHeight="1" x14ac:dyDescent="0.2">
      <c r="A26" s="116">
        <v>26</v>
      </c>
      <c r="B26" s="97"/>
      <c r="C26" s="189" t="s">
        <v>29</v>
      </c>
      <c r="D26" s="169" t="s">
        <v>288</v>
      </c>
      <c r="E26" s="169" t="s">
        <v>293</v>
      </c>
      <c r="F26" s="179" t="s">
        <v>24</v>
      </c>
      <c r="G26" s="582">
        <v>0</v>
      </c>
      <c r="H26" s="596">
        <v>0</v>
      </c>
      <c r="I26" s="596">
        <v>0</v>
      </c>
      <c r="J26" s="596">
        <v>0</v>
      </c>
      <c r="K26" s="596">
        <v>0</v>
      </c>
      <c r="L26" s="596">
        <v>0</v>
      </c>
      <c r="M26" s="596">
        <v>0</v>
      </c>
      <c r="N26" s="596">
        <v>0</v>
      </c>
      <c r="O26" s="596">
        <v>0</v>
      </c>
      <c r="P26" s="596">
        <v>0</v>
      </c>
      <c r="Q26" s="596">
        <v>0</v>
      </c>
      <c r="R26" s="596">
        <v>0</v>
      </c>
      <c r="S26" s="596">
        <v>0</v>
      </c>
      <c r="T26" s="596">
        <v>0</v>
      </c>
      <c r="U26" s="596">
        <v>0</v>
      </c>
      <c r="V26" s="596">
        <v>0</v>
      </c>
      <c r="W26" s="596">
        <v>0</v>
      </c>
      <c r="X26" s="596">
        <v>0</v>
      </c>
      <c r="Y26" s="596">
        <v>0</v>
      </c>
      <c r="Z26" s="596">
        <v>0</v>
      </c>
      <c r="AA26" s="596">
        <v>0</v>
      </c>
      <c r="AB26" s="596">
        <v>0</v>
      </c>
      <c r="AC26" s="596">
        <v>0</v>
      </c>
      <c r="AD26" s="596">
        <v>0</v>
      </c>
      <c r="AE26" s="596">
        <v>0</v>
      </c>
      <c r="AF26" s="596">
        <v>0</v>
      </c>
      <c r="AG26" s="582">
        <v>0</v>
      </c>
      <c r="AH26" s="455">
        <f t="shared" si="0"/>
        <v>0</v>
      </c>
      <c r="AI26" s="582">
        <v>0</v>
      </c>
      <c r="AJ26" s="597" t="s">
        <v>958</v>
      </c>
      <c r="AK26" s="37"/>
    </row>
    <row r="27" spans="1:37" ht="15" customHeight="1" x14ac:dyDescent="0.2">
      <c r="A27" s="116">
        <v>27</v>
      </c>
      <c r="B27" s="97"/>
      <c r="C27" s="189" t="s">
        <v>29</v>
      </c>
      <c r="D27" s="169" t="s">
        <v>288</v>
      </c>
      <c r="E27" s="169" t="s">
        <v>294</v>
      </c>
      <c r="F27" s="179" t="s">
        <v>24</v>
      </c>
      <c r="G27" s="582">
        <v>0</v>
      </c>
      <c r="H27" s="596">
        <v>0</v>
      </c>
      <c r="I27" s="596">
        <v>0</v>
      </c>
      <c r="J27" s="596">
        <v>0</v>
      </c>
      <c r="K27" s="596">
        <v>0</v>
      </c>
      <c r="L27" s="596">
        <v>0</v>
      </c>
      <c r="M27" s="596">
        <v>0</v>
      </c>
      <c r="N27" s="596">
        <v>0</v>
      </c>
      <c r="O27" s="596">
        <v>0</v>
      </c>
      <c r="P27" s="596">
        <v>0</v>
      </c>
      <c r="Q27" s="596">
        <v>0</v>
      </c>
      <c r="R27" s="596">
        <v>0</v>
      </c>
      <c r="S27" s="596">
        <v>0</v>
      </c>
      <c r="T27" s="596">
        <v>0</v>
      </c>
      <c r="U27" s="596">
        <v>0</v>
      </c>
      <c r="V27" s="596">
        <v>0</v>
      </c>
      <c r="W27" s="596">
        <v>1</v>
      </c>
      <c r="X27" s="596">
        <v>0</v>
      </c>
      <c r="Y27" s="596">
        <v>0</v>
      </c>
      <c r="Z27" s="596">
        <v>0</v>
      </c>
      <c r="AA27" s="596">
        <v>0</v>
      </c>
      <c r="AB27" s="596">
        <v>0</v>
      </c>
      <c r="AC27" s="596">
        <v>0</v>
      </c>
      <c r="AD27" s="596">
        <v>0</v>
      </c>
      <c r="AE27" s="596">
        <v>0</v>
      </c>
      <c r="AF27" s="596">
        <v>0</v>
      </c>
      <c r="AG27" s="582">
        <v>0</v>
      </c>
      <c r="AH27" s="455">
        <f t="shared" si="0"/>
        <v>1</v>
      </c>
      <c r="AI27" s="582">
        <v>0</v>
      </c>
      <c r="AJ27" s="597">
        <v>4</v>
      </c>
      <c r="AK27" s="37"/>
    </row>
    <row r="28" spans="1:37" ht="15" customHeight="1" x14ac:dyDescent="0.2">
      <c r="A28" s="116">
        <v>28</v>
      </c>
      <c r="B28" s="97"/>
      <c r="C28" s="189" t="s">
        <v>29</v>
      </c>
      <c r="D28" s="169" t="s">
        <v>288</v>
      </c>
      <c r="E28" s="169" t="s">
        <v>291</v>
      </c>
      <c r="F28" s="179" t="s">
        <v>24</v>
      </c>
      <c r="G28" s="582">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596">
        <v>0</v>
      </c>
      <c r="Z28" s="596">
        <v>0</v>
      </c>
      <c r="AA28" s="596">
        <v>0</v>
      </c>
      <c r="AB28" s="596">
        <v>0</v>
      </c>
      <c r="AC28" s="596">
        <v>0</v>
      </c>
      <c r="AD28" s="596">
        <v>0</v>
      </c>
      <c r="AE28" s="596">
        <v>0</v>
      </c>
      <c r="AF28" s="596">
        <v>0</v>
      </c>
      <c r="AG28" s="582">
        <v>0</v>
      </c>
      <c r="AH28" s="455">
        <f t="shared" si="0"/>
        <v>0</v>
      </c>
      <c r="AI28" s="582">
        <v>0</v>
      </c>
      <c r="AJ28" s="597">
        <v>4</v>
      </c>
      <c r="AK28" s="37"/>
    </row>
    <row r="29" spans="1:37" ht="15" customHeight="1" x14ac:dyDescent="0.2">
      <c r="A29" s="116">
        <v>29</v>
      </c>
      <c r="B29" s="97"/>
      <c r="C29" s="189" t="s">
        <v>29</v>
      </c>
      <c r="D29" s="169" t="s">
        <v>288</v>
      </c>
      <c r="E29" s="169" t="s">
        <v>292</v>
      </c>
      <c r="F29" s="179" t="s">
        <v>24</v>
      </c>
      <c r="G29" s="582">
        <v>0</v>
      </c>
      <c r="H29" s="596">
        <v>0</v>
      </c>
      <c r="I29" s="596">
        <v>4</v>
      </c>
      <c r="J29" s="596">
        <v>13</v>
      </c>
      <c r="K29" s="596">
        <v>21</v>
      </c>
      <c r="L29" s="596">
        <v>18</v>
      </c>
      <c r="M29" s="596">
        <v>11</v>
      </c>
      <c r="N29" s="596">
        <v>0</v>
      </c>
      <c r="O29" s="596">
        <v>0</v>
      </c>
      <c r="P29" s="596">
        <v>0</v>
      </c>
      <c r="Q29" s="596">
        <v>0</v>
      </c>
      <c r="R29" s="596">
        <v>0</v>
      </c>
      <c r="S29" s="596">
        <v>0</v>
      </c>
      <c r="T29" s="596">
        <v>0</v>
      </c>
      <c r="U29" s="596">
        <v>0</v>
      </c>
      <c r="V29" s="596">
        <v>1</v>
      </c>
      <c r="W29" s="596">
        <v>1</v>
      </c>
      <c r="X29" s="596">
        <v>0</v>
      </c>
      <c r="Y29" s="596">
        <v>4</v>
      </c>
      <c r="Z29" s="596">
        <v>6</v>
      </c>
      <c r="AA29" s="596">
        <v>12</v>
      </c>
      <c r="AB29" s="596">
        <v>6</v>
      </c>
      <c r="AC29" s="596">
        <v>9</v>
      </c>
      <c r="AD29" s="596">
        <v>2</v>
      </c>
      <c r="AE29" s="596">
        <v>11</v>
      </c>
      <c r="AF29" s="596">
        <v>0</v>
      </c>
      <c r="AG29" s="582">
        <v>0</v>
      </c>
      <c r="AH29" s="455">
        <f t="shared" si="0"/>
        <v>119</v>
      </c>
      <c r="AI29" s="582">
        <v>0</v>
      </c>
      <c r="AJ29" s="597">
        <v>4</v>
      </c>
      <c r="AK29" s="37"/>
    </row>
    <row r="30" spans="1:37" ht="15" customHeight="1" x14ac:dyDescent="0.2">
      <c r="A30" s="116">
        <v>30</v>
      </c>
      <c r="B30" s="97"/>
      <c r="C30" s="189" t="s">
        <v>29</v>
      </c>
      <c r="D30" s="169" t="s">
        <v>288</v>
      </c>
      <c r="E30" s="169" t="s">
        <v>44</v>
      </c>
      <c r="F30" s="179" t="s">
        <v>24</v>
      </c>
      <c r="G30" s="582">
        <v>0</v>
      </c>
      <c r="H30" s="596">
        <v>0</v>
      </c>
      <c r="I30" s="596">
        <v>0</v>
      </c>
      <c r="J30" s="596">
        <v>0</v>
      </c>
      <c r="K30" s="596">
        <v>0</v>
      </c>
      <c r="L30" s="596">
        <v>0</v>
      </c>
      <c r="M30" s="596">
        <v>0</v>
      </c>
      <c r="N30" s="596">
        <v>0</v>
      </c>
      <c r="O30" s="596">
        <v>0</v>
      </c>
      <c r="P30" s="596">
        <v>0</v>
      </c>
      <c r="Q30" s="596">
        <v>0</v>
      </c>
      <c r="R30" s="596">
        <v>0</v>
      </c>
      <c r="S30" s="596">
        <v>0</v>
      </c>
      <c r="T30" s="596">
        <v>0</v>
      </c>
      <c r="U30" s="596">
        <v>0</v>
      </c>
      <c r="V30" s="596">
        <v>0</v>
      </c>
      <c r="W30" s="596">
        <v>0</v>
      </c>
      <c r="X30" s="596">
        <v>0</v>
      </c>
      <c r="Y30" s="596">
        <v>0</v>
      </c>
      <c r="Z30" s="596">
        <v>0</v>
      </c>
      <c r="AA30" s="596">
        <v>0</v>
      </c>
      <c r="AB30" s="596">
        <v>0</v>
      </c>
      <c r="AC30" s="596">
        <v>0</v>
      </c>
      <c r="AD30" s="596">
        <v>0</v>
      </c>
      <c r="AE30" s="596">
        <v>0</v>
      </c>
      <c r="AF30" s="596">
        <v>0</v>
      </c>
      <c r="AG30" s="582">
        <v>0</v>
      </c>
      <c r="AH30" s="455">
        <f t="shared" si="0"/>
        <v>0</v>
      </c>
      <c r="AI30" s="582">
        <v>0</v>
      </c>
      <c r="AJ30" s="597" t="s">
        <v>958</v>
      </c>
      <c r="AK30" s="37"/>
    </row>
    <row r="31" spans="1:37" ht="15" customHeight="1" x14ac:dyDescent="0.2">
      <c r="A31" s="116">
        <v>31</v>
      </c>
      <c r="B31" s="97"/>
      <c r="C31" s="189" t="s">
        <v>29</v>
      </c>
      <c r="D31" s="169" t="s">
        <v>288</v>
      </c>
      <c r="E31" s="169" t="s">
        <v>289</v>
      </c>
      <c r="F31" s="179" t="s">
        <v>24</v>
      </c>
      <c r="G31" s="582">
        <v>0</v>
      </c>
      <c r="H31" s="596">
        <v>0</v>
      </c>
      <c r="I31" s="596">
        <v>0</v>
      </c>
      <c r="J31" s="596">
        <v>0</v>
      </c>
      <c r="K31" s="596">
        <v>0</v>
      </c>
      <c r="L31" s="596">
        <v>0</v>
      </c>
      <c r="M31" s="596">
        <v>0</v>
      </c>
      <c r="N31" s="596">
        <v>0</v>
      </c>
      <c r="O31" s="596">
        <v>0</v>
      </c>
      <c r="P31" s="596">
        <v>0</v>
      </c>
      <c r="Q31" s="596">
        <v>0</v>
      </c>
      <c r="R31" s="596">
        <v>0</v>
      </c>
      <c r="S31" s="596">
        <v>0</v>
      </c>
      <c r="T31" s="596">
        <v>0</v>
      </c>
      <c r="U31" s="596">
        <v>0</v>
      </c>
      <c r="V31" s="596">
        <v>0</v>
      </c>
      <c r="W31" s="596">
        <v>0</v>
      </c>
      <c r="X31" s="596">
        <v>0</v>
      </c>
      <c r="Y31" s="596">
        <v>6</v>
      </c>
      <c r="Z31" s="596">
        <v>0</v>
      </c>
      <c r="AA31" s="596">
        <v>0</v>
      </c>
      <c r="AB31" s="596">
        <v>0</v>
      </c>
      <c r="AC31" s="596">
        <v>0</v>
      </c>
      <c r="AD31" s="596">
        <v>0</v>
      </c>
      <c r="AE31" s="596">
        <v>0</v>
      </c>
      <c r="AF31" s="596">
        <v>0</v>
      </c>
      <c r="AG31" s="582">
        <v>0</v>
      </c>
      <c r="AH31" s="455">
        <f t="shared" si="0"/>
        <v>6</v>
      </c>
      <c r="AI31" s="582">
        <v>0</v>
      </c>
      <c r="AJ31" s="597">
        <v>4</v>
      </c>
      <c r="AK31" s="37"/>
    </row>
    <row r="32" spans="1:37" ht="15" customHeight="1" x14ac:dyDescent="0.2">
      <c r="A32" s="116">
        <v>32</v>
      </c>
      <c r="B32" s="97"/>
      <c r="C32" s="189" t="s">
        <v>29</v>
      </c>
      <c r="D32" s="169" t="s">
        <v>288</v>
      </c>
      <c r="E32" s="169" t="s">
        <v>290</v>
      </c>
      <c r="F32" s="179" t="s">
        <v>24</v>
      </c>
      <c r="G32" s="582">
        <v>0</v>
      </c>
      <c r="H32" s="596">
        <v>0</v>
      </c>
      <c r="I32" s="596">
        <v>0</v>
      </c>
      <c r="J32" s="596">
        <v>1</v>
      </c>
      <c r="K32" s="596">
        <v>2</v>
      </c>
      <c r="L32" s="596">
        <v>7</v>
      </c>
      <c r="M32" s="596">
        <v>4</v>
      </c>
      <c r="N32" s="596">
        <v>0</v>
      </c>
      <c r="O32" s="596">
        <v>1</v>
      </c>
      <c r="P32" s="596">
        <v>0</v>
      </c>
      <c r="Q32" s="596">
        <v>0</v>
      </c>
      <c r="R32" s="596">
        <v>2</v>
      </c>
      <c r="S32" s="596">
        <v>0</v>
      </c>
      <c r="T32" s="596">
        <v>0</v>
      </c>
      <c r="U32" s="596">
        <v>0</v>
      </c>
      <c r="V32" s="596">
        <v>0</v>
      </c>
      <c r="W32" s="596">
        <v>0</v>
      </c>
      <c r="X32" s="596">
        <v>1</v>
      </c>
      <c r="Y32" s="596">
        <v>0</v>
      </c>
      <c r="Z32" s="596">
        <v>2</v>
      </c>
      <c r="AA32" s="596">
        <v>1</v>
      </c>
      <c r="AB32" s="596">
        <v>4</v>
      </c>
      <c r="AC32" s="596">
        <v>0</v>
      </c>
      <c r="AD32" s="596">
        <v>2</v>
      </c>
      <c r="AE32" s="596">
        <v>1</v>
      </c>
      <c r="AF32" s="596">
        <v>0</v>
      </c>
      <c r="AG32" s="582">
        <v>0</v>
      </c>
      <c r="AH32" s="455">
        <f t="shared" si="0"/>
        <v>28</v>
      </c>
      <c r="AI32" s="582">
        <v>0</v>
      </c>
      <c r="AJ32" s="597">
        <v>4</v>
      </c>
      <c r="AK32" s="37"/>
    </row>
    <row r="33" spans="1:37" ht="15" customHeight="1" x14ac:dyDescent="0.2">
      <c r="A33" s="116">
        <v>33</v>
      </c>
      <c r="B33" s="97"/>
      <c r="C33" s="189" t="s">
        <v>29</v>
      </c>
      <c r="D33" s="169" t="s">
        <v>288</v>
      </c>
      <c r="E33" s="169" t="s">
        <v>295</v>
      </c>
      <c r="F33" s="179" t="s">
        <v>24</v>
      </c>
      <c r="G33" s="582">
        <v>0</v>
      </c>
      <c r="H33" s="596">
        <v>0</v>
      </c>
      <c r="I33" s="596">
        <v>0</v>
      </c>
      <c r="J33" s="596">
        <v>2</v>
      </c>
      <c r="K33" s="596">
        <v>8</v>
      </c>
      <c r="L33" s="596">
        <v>26</v>
      </c>
      <c r="M33" s="596">
        <v>1</v>
      </c>
      <c r="N33" s="596">
        <v>12</v>
      </c>
      <c r="O33" s="596">
        <v>0</v>
      </c>
      <c r="P33" s="596">
        <v>0</v>
      </c>
      <c r="Q33" s="596">
        <v>0</v>
      </c>
      <c r="R33" s="596" t="s">
        <v>7</v>
      </c>
      <c r="S33" s="596">
        <v>18</v>
      </c>
      <c r="T33" s="596">
        <v>14</v>
      </c>
      <c r="U33" s="596">
        <v>9</v>
      </c>
      <c r="V33" s="596" t="s">
        <v>7</v>
      </c>
      <c r="W33" s="596">
        <v>8</v>
      </c>
      <c r="X33" s="596" t="s">
        <v>7</v>
      </c>
      <c r="Y33" s="596">
        <v>5</v>
      </c>
      <c r="Z33" s="596">
        <v>24</v>
      </c>
      <c r="AA33" s="596">
        <v>26</v>
      </c>
      <c r="AB33" s="596">
        <v>8</v>
      </c>
      <c r="AC33" s="596">
        <v>4</v>
      </c>
      <c r="AD33" s="596">
        <v>1</v>
      </c>
      <c r="AE33" s="596">
        <v>0</v>
      </c>
      <c r="AF33" s="596">
        <v>4</v>
      </c>
      <c r="AG33" s="582">
        <v>0</v>
      </c>
      <c r="AH33" s="455">
        <f t="shared" si="0"/>
        <v>170</v>
      </c>
      <c r="AI33" s="582">
        <v>0</v>
      </c>
      <c r="AJ33" s="597">
        <v>4</v>
      </c>
      <c r="AK33" s="37"/>
    </row>
    <row r="34" spans="1:37" ht="15" customHeight="1" x14ac:dyDescent="0.2">
      <c r="A34" s="116">
        <v>34</v>
      </c>
      <c r="B34" s="97"/>
      <c r="C34" s="189" t="s">
        <v>29</v>
      </c>
      <c r="D34" s="169" t="s">
        <v>288</v>
      </c>
      <c r="E34" s="169" t="s">
        <v>296</v>
      </c>
      <c r="F34" s="179" t="s">
        <v>24</v>
      </c>
      <c r="G34" s="582">
        <v>0</v>
      </c>
      <c r="H34" s="596">
        <v>0</v>
      </c>
      <c r="I34" s="596">
        <v>0</v>
      </c>
      <c r="J34" s="596">
        <v>0</v>
      </c>
      <c r="K34" s="596">
        <v>0</v>
      </c>
      <c r="L34" s="596">
        <v>1</v>
      </c>
      <c r="M34" s="596">
        <v>0</v>
      </c>
      <c r="N34" s="596">
        <v>0</v>
      </c>
      <c r="O34" s="596">
        <v>0</v>
      </c>
      <c r="P34" s="596">
        <v>0</v>
      </c>
      <c r="Q34" s="596">
        <v>0</v>
      </c>
      <c r="R34" s="596">
        <v>0</v>
      </c>
      <c r="S34" s="596">
        <v>0</v>
      </c>
      <c r="T34" s="596">
        <v>0</v>
      </c>
      <c r="U34" s="596">
        <v>0</v>
      </c>
      <c r="V34" s="596">
        <v>1</v>
      </c>
      <c r="W34" s="596">
        <v>2</v>
      </c>
      <c r="X34" s="596">
        <v>1</v>
      </c>
      <c r="Y34" s="596">
        <v>0</v>
      </c>
      <c r="Z34" s="596">
        <v>0</v>
      </c>
      <c r="AA34" s="596">
        <v>0</v>
      </c>
      <c r="AB34" s="596">
        <v>0</v>
      </c>
      <c r="AC34" s="596">
        <v>2</v>
      </c>
      <c r="AD34" s="596">
        <v>0</v>
      </c>
      <c r="AE34" s="596">
        <v>0</v>
      </c>
      <c r="AF34" s="596">
        <v>0</v>
      </c>
      <c r="AG34" s="582">
        <v>0</v>
      </c>
      <c r="AH34" s="455">
        <f t="shared" si="0"/>
        <v>7</v>
      </c>
      <c r="AI34" s="582">
        <v>0</v>
      </c>
      <c r="AJ34" s="597" t="s">
        <v>958</v>
      </c>
      <c r="AK34" s="37"/>
    </row>
    <row r="35" spans="1:37" ht="15" customHeight="1" x14ac:dyDescent="0.2">
      <c r="A35" s="116">
        <v>35</v>
      </c>
      <c r="B35" s="200"/>
      <c r="C35" s="189" t="s">
        <v>29</v>
      </c>
      <c r="D35" s="169" t="s">
        <v>452</v>
      </c>
      <c r="E35" s="169" t="s">
        <v>297</v>
      </c>
      <c r="F35" s="179" t="s">
        <v>24</v>
      </c>
      <c r="G35" s="582">
        <v>0</v>
      </c>
      <c r="H35" s="596">
        <v>0</v>
      </c>
      <c r="I35" s="596">
        <v>1</v>
      </c>
      <c r="J35" s="596">
        <v>1</v>
      </c>
      <c r="K35" s="596">
        <v>6</v>
      </c>
      <c r="L35" s="596">
        <v>2</v>
      </c>
      <c r="M35" s="596">
        <v>3</v>
      </c>
      <c r="N35" s="596">
        <v>0</v>
      </c>
      <c r="O35" s="596">
        <v>0</v>
      </c>
      <c r="P35" s="596">
        <v>0</v>
      </c>
      <c r="Q35" s="596">
        <v>0</v>
      </c>
      <c r="R35" s="596">
        <v>0</v>
      </c>
      <c r="S35" s="596">
        <v>4</v>
      </c>
      <c r="T35" s="596">
        <v>0</v>
      </c>
      <c r="U35" s="596">
        <v>0</v>
      </c>
      <c r="V35" s="596">
        <v>2</v>
      </c>
      <c r="W35" s="596">
        <v>0</v>
      </c>
      <c r="X35" s="596">
        <v>1</v>
      </c>
      <c r="Y35" s="596">
        <v>3</v>
      </c>
      <c r="Z35" s="596">
        <v>0</v>
      </c>
      <c r="AA35" s="596">
        <v>1</v>
      </c>
      <c r="AB35" s="596">
        <v>2</v>
      </c>
      <c r="AC35" s="596">
        <v>0</v>
      </c>
      <c r="AD35" s="596">
        <v>1</v>
      </c>
      <c r="AE35" s="596">
        <v>0</v>
      </c>
      <c r="AF35" s="596" t="s">
        <v>7</v>
      </c>
      <c r="AG35" s="582">
        <v>0</v>
      </c>
      <c r="AH35" s="455">
        <f t="shared" si="0"/>
        <v>27</v>
      </c>
      <c r="AI35" s="582">
        <v>5</v>
      </c>
      <c r="AJ35" s="597">
        <v>4</v>
      </c>
      <c r="AK35" s="37"/>
    </row>
    <row r="36" spans="1:37" ht="15" customHeight="1" x14ac:dyDescent="0.2">
      <c r="A36" s="116">
        <v>36</v>
      </c>
      <c r="B36" s="200"/>
      <c r="C36" s="189" t="s">
        <v>29</v>
      </c>
      <c r="D36" s="169" t="s">
        <v>298</v>
      </c>
      <c r="E36" s="169" t="s">
        <v>45</v>
      </c>
      <c r="F36" s="179" t="s">
        <v>31</v>
      </c>
      <c r="G36" s="582">
        <v>6.26</v>
      </c>
      <c r="H36" s="596">
        <v>0</v>
      </c>
      <c r="I36" s="596">
        <v>877.49</v>
      </c>
      <c r="J36" s="596">
        <v>495.36</v>
      </c>
      <c r="K36" s="596">
        <v>338.97</v>
      </c>
      <c r="L36" s="596">
        <v>249.11</v>
      </c>
      <c r="M36" s="596">
        <v>154.63</v>
      </c>
      <c r="N36" s="596">
        <v>10.17</v>
      </c>
      <c r="O36" s="596">
        <v>20.85</v>
      </c>
      <c r="P36" s="596">
        <v>34.08</v>
      </c>
      <c r="Q36" s="596">
        <v>79.47</v>
      </c>
      <c r="R36" s="596">
        <v>62.59</v>
      </c>
      <c r="S36" s="596">
        <v>134.55000000000001</v>
      </c>
      <c r="T36" s="596">
        <v>42.48</v>
      </c>
      <c r="U36" s="596">
        <v>51.56</v>
      </c>
      <c r="V36" s="596">
        <v>53.37</v>
      </c>
      <c r="W36" s="596">
        <v>58.26</v>
      </c>
      <c r="X36" s="596">
        <v>36.71</v>
      </c>
      <c r="Y36" s="596">
        <v>17.22</v>
      </c>
      <c r="Z36" s="596">
        <v>28.98</v>
      </c>
      <c r="AA36" s="596">
        <v>40.11</v>
      </c>
      <c r="AB36" s="596">
        <v>38.159999999999997</v>
      </c>
      <c r="AC36" s="596">
        <v>27.56</v>
      </c>
      <c r="AD36" s="596">
        <v>28.22</v>
      </c>
      <c r="AE36" s="596">
        <v>10.48</v>
      </c>
      <c r="AF36" s="596">
        <v>6.17</v>
      </c>
      <c r="AG36" s="582">
        <v>6.23</v>
      </c>
      <c r="AH36" s="455">
        <f t="shared" si="0"/>
        <v>2909.04</v>
      </c>
      <c r="AI36" s="582">
        <v>0</v>
      </c>
      <c r="AJ36" s="597">
        <v>3</v>
      </c>
      <c r="AK36" s="37"/>
    </row>
    <row r="37" spans="1:37" ht="15" customHeight="1" x14ac:dyDescent="0.2">
      <c r="A37" s="116">
        <v>37</v>
      </c>
      <c r="B37" s="200"/>
      <c r="C37" s="189" t="s">
        <v>29</v>
      </c>
      <c r="D37" s="169" t="s">
        <v>298</v>
      </c>
      <c r="E37" s="169" t="s">
        <v>46</v>
      </c>
      <c r="F37" s="179" t="s">
        <v>31</v>
      </c>
      <c r="G37" s="582">
        <v>0</v>
      </c>
      <c r="H37" s="596">
        <v>0</v>
      </c>
      <c r="I37" s="596">
        <v>0</v>
      </c>
      <c r="J37" s="596">
        <v>0</v>
      </c>
      <c r="K37" s="596">
        <v>0</v>
      </c>
      <c r="L37" s="596">
        <v>0</v>
      </c>
      <c r="M37" s="596">
        <v>0</v>
      </c>
      <c r="N37" s="596">
        <v>0</v>
      </c>
      <c r="O37" s="596">
        <v>0</v>
      </c>
      <c r="P37" s="596">
        <v>0</v>
      </c>
      <c r="Q37" s="596">
        <v>0</v>
      </c>
      <c r="R37" s="596">
        <v>0</v>
      </c>
      <c r="S37" s="596">
        <v>0</v>
      </c>
      <c r="T37" s="596">
        <v>0</v>
      </c>
      <c r="U37" s="596">
        <v>0</v>
      </c>
      <c r="V37" s="596">
        <v>0</v>
      </c>
      <c r="W37" s="596">
        <v>0</v>
      </c>
      <c r="X37" s="596">
        <v>0</v>
      </c>
      <c r="Y37" s="596">
        <v>0</v>
      </c>
      <c r="Z37" s="596">
        <v>0</v>
      </c>
      <c r="AA37" s="596">
        <v>0</v>
      </c>
      <c r="AB37" s="596">
        <v>0</v>
      </c>
      <c r="AC37" s="596">
        <v>0</v>
      </c>
      <c r="AD37" s="596">
        <v>0</v>
      </c>
      <c r="AE37" s="596">
        <v>0</v>
      </c>
      <c r="AF37" s="596">
        <v>0</v>
      </c>
      <c r="AG37" s="582">
        <v>0</v>
      </c>
      <c r="AH37" s="455">
        <f t="shared" si="0"/>
        <v>0</v>
      </c>
      <c r="AI37" s="582">
        <v>0</v>
      </c>
      <c r="AJ37" s="597" t="s">
        <v>958</v>
      </c>
      <c r="AK37" s="37"/>
    </row>
    <row r="38" spans="1:37" ht="15" customHeight="1" x14ac:dyDescent="0.2">
      <c r="A38" s="116">
        <v>38</v>
      </c>
      <c r="B38" s="200"/>
      <c r="C38" s="189" t="s">
        <v>29</v>
      </c>
      <c r="D38" s="169" t="s">
        <v>298</v>
      </c>
      <c r="E38" s="169" t="s">
        <v>299</v>
      </c>
      <c r="F38" s="179" t="s">
        <v>31</v>
      </c>
      <c r="G38" s="582">
        <v>0</v>
      </c>
      <c r="H38" s="596">
        <v>0</v>
      </c>
      <c r="I38" s="596">
        <v>0</v>
      </c>
      <c r="J38" s="596">
        <v>0</v>
      </c>
      <c r="K38" s="596">
        <v>7.25</v>
      </c>
      <c r="L38" s="596">
        <v>0</v>
      </c>
      <c r="M38" s="596">
        <v>0</v>
      </c>
      <c r="N38" s="596">
        <v>0</v>
      </c>
      <c r="O38" s="596">
        <v>0</v>
      </c>
      <c r="P38" s="596">
        <v>0</v>
      </c>
      <c r="Q38" s="596">
        <v>0</v>
      </c>
      <c r="R38" s="596">
        <v>0</v>
      </c>
      <c r="S38" s="596">
        <v>0</v>
      </c>
      <c r="T38" s="596">
        <v>0</v>
      </c>
      <c r="U38" s="596">
        <v>0</v>
      </c>
      <c r="V38" s="596">
        <v>0</v>
      </c>
      <c r="W38" s="596">
        <v>0</v>
      </c>
      <c r="X38" s="596">
        <v>0</v>
      </c>
      <c r="Y38" s="596">
        <v>0</v>
      </c>
      <c r="Z38" s="596">
        <v>0</v>
      </c>
      <c r="AA38" s="596">
        <v>0</v>
      </c>
      <c r="AB38" s="596">
        <v>0</v>
      </c>
      <c r="AC38" s="596">
        <v>0</v>
      </c>
      <c r="AD38" s="596">
        <v>0</v>
      </c>
      <c r="AE38" s="596">
        <v>0</v>
      </c>
      <c r="AF38" s="596">
        <v>0</v>
      </c>
      <c r="AG38" s="582">
        <v>0</v>
      </c>
      <c r="AH38" s="455">
        <f t="shared" si="0"/>
        <v>7.25</v>
      </c>
      <c r="AI38" s="582">
        <v>0</v>
      </c>
      <c r="AJ38" s="597">
        <v>4</v>
      </c>
      <c r="AK38" s="37"/>
    </row>
    <row r="39" spans="1:37" ht="15" customHeight="1" x14ac:dyDescent="0.2">
      <c r="A39" s="116">
        <v>39</v>
      </c>
      <c r="B39" s="200"/>
      <c r="C39" s="189" t="s">
        <v>29</v>
      </c>
      <c r="D39" s="169" t="s">
        <v>300</v>
      </c>
      <c r="E39" s="169" t="s">
        <v>47</v>
      </c>
      <c r="F39" s="179" t="s">
        <v>31</v>
      </c>
      <c r="G39" s="582">
        <v>0</v>
      </c>
      <c r="H39" s="596">
        <v>0</v>
      </c>
      <c r="I39" s="596">
        <v>0.79</v>
      </c>
      <c r="J39" s="596">
        <v>0.9</v>
      </c>
      <c r="K39" s="596">
        <v>3.84</v>
      </c>
      <c r="L39" s="596">
        <v>9.5500000000000007</v>
      </c>
      <c r="M39" s="596">
        <v>13.94</v>
      </c>
      <c r="N39" s="596">
        <v>2.75</v>
      </c>
      <c r="O39" s="596">
        <v>3.82</v>
      </c>
      <c r="P39" s="596">
        <v>13.22</v>
      </c>
      <c r="Q39" s="596">
        <v>12.17</v>
      </c>
      <c r="R39" s="596">
        <v>6.56</v>
      </c>
      <c r="S39" s="596">
        <v>11.29</v>
      </c>
      <c r="T39" s="596">
        <v>20.69</v>
      </c>
      <c r="U39" s="596">
        <v>14.56</v>
      </c>
      <c r="V39" s="596">
        <v>18.73</v>
      </c>
      <c r="W39" s="596">
        <v>12.55</v>
      </c>
      <c r="X39" s="596">
        <v>10.66</v>
      </c>
      <c r="Y39" s="596">
        <v>11.91</v>
      </c>
      <c r="Z39" s="596">
        <v>18.010000000000002</v>
      </c>
      <c r="AA39" s="596">
        <v>15.92</v>
      </c>
      <c r="AB39" s="596">
        <v>8.42</v>
      </c>
      <c r="AC39" s="596">
        <v>15.7</v>
      </c>
      <c r="AD39" s="596">
        <v>11.88</v>
      </c>
      <c r="AE39" s="596">
        <v>3.87</v>
      </c>
      <c r="AF39" s="596">
        <v>2.98</v>
      </c>
      <c r="AG39" s="582">
        <v>1.89</v>
      </c>
      <c r="AH39" s="455">
        <f t="shared" si="0"/>
        <v>246.59999999999991</v>
      </c>
      <c r="AI39" s="582">
        <v>0</v>
      </c>
      <c r="AJ39" s="597">
        <v>2</v>
      </c>
      <c r="AK39" s="37"/>
    </row>
    <row r="40" spans="1:37" ht="15" customHeight="1" x14ac:dyDescent="0.2">
      <c r="A40" s="116">
        <v>40</v>
      </c>
      <c r="B40" s="200"/>
      <c r="C40" s="189" t="s">
        <v>29</v>
      </c>
      <c r="D40" s="169" t="s">
        <v>300</v>
      </c>
      <c r="E40" s="169" t="s">
        <v>48</v>
      </c>
      <c r="F40" s="179" t="s">
        <v>31</v>
      </c>
      <c r="G40" s="582">
        <v>0</v>
      </c>
      <c r="H40" s="596">
        <v>0</v>
      </c>
      <c r="I40" s="596">
        <v>0</v>
      </c>
      <c r="J40" s="596">
        <v>8.92</v>
      </c>
      <c r="K40" s="596">
        <v>41.05</v>
      </c>
      <c r="L40" s="596">
        <v>56.06</v>
      </c>
      <c r="M40" s="596">
        <v>25.43</v>
      </c>
      <c r="N40" s="596">
        <v>1.6</v>
      </c>
      <c r="O40" s="596">
        <v>0.55000000000000004</v>
      </c>
      <c r="P40" s="596">
        <v>0</v>
      </c>
      <c r="Q40" s="596">
        <v>0.34</v>
      </c>
      <c r="R40" s="596">
        <v>0</v>
      </c>
      <c r="S40" s="596">
        <v>0.08</v>
      </c>
      <c r="T40" s="596">
        <v>0</v>
      </c>
      <c r="U40" s="596">
        <v>0.04</v>
      </c>
      <c r="V40" s="596">
        <v>0.01</v>
      </c>
      <c r="W40" s="596">
        <v>7.0000000000000007E-2</v>
      </c>
      <c r="X40" s="596">
        <v>0.25</v>
      </c>
      <c r="Y40" s="596">
        <v>0</v>
      </c>
      <c r="Z40" s="596">
        <v>0.35</v>
      </c>
      <c r="AA40" s="596">
        <v>0</v>
      </c>
      <c r="AB40" s="596">
        <v>0</v>
      </c>
      <c r="AC40" s="596">
        <v>0</v>
      </c>
      <c r="AD40" s="596">
        <v>0</v>
      </c>
      <c r="AE40" s="596">
        <v>0</v>
      </c>
      <c r="AF40" s="596">
        <v>0</v>
      </c>
      <c r="AG40" s="582">
        <v>0.01</v>
      </c>
      <c r="AH40" s="455">
        <f t="shared" si="0"/>
        <v>134.76</v>
      </c>
      <c r="AI40" s="582">
        <v>0</v>
      </c>
      <c r="AJ40" s="597">
        <v>2</v>
      </c>
      <c r="AK40" s="37"/>
    </row>
    <row r="41" spans="1:37" ht="15" customHeight="1" x14ac:dyDescent="0.2">
      <c r="A41" s="116">
        <v>41</v>
      </c>
      <c r="B41" s="200"/>
      <c r="C41" s="189" t="s">
        <v>29</v>
      </c>
      <c r="D41" s="169" t="s">
        <v>300</v>
      </c>
      <c r="E41" s="169" t="s">
        <v>49</v>
      </c>
      <c r="F41" s="179" t="s">
        <v>31</v>
      </c>
      <c r="G41" s="582">
        <v>0</v>
      </c>
      <c r="H41" s="596">
        <v>0</v>
      </c>
      <c r="I41" s="596">
        <v>0</v>
      </c>
      <c r="J41" s="596">
        <v>0</v>
      </c>
      <c r="K41" s="596">
        <v>0</v>
      </c>
      <c r="L41" s="596">
        <v>0</v>
      </c>
      <c r="M41" s="596">
        <v>0</v>
      </c>
      <c r="N41" s="596">
        <v>0</v>
      </c>
      <c r="O41" s="596">
        <v>0</v>
      </c>
      <c r="P41" s="596">
        <v>0</v>
      </c>
      <c r="Q41" s="596">
        <v>0</v>
      </c>
      <c r="R41" s="596">
        <v>0</v>
      </c>
      <c r="S41" s="596">
        <v>0</v>
      </c>
      <c r="T41" s="596">
        <v>0</v>
      </c>
      <c r="U41" s="596">
        <v>0</v>
      </c>
      <c r="V41" s="596">
        <v>0</v>
      </c>
      <c r="W41" s="596">
        <v>0</v>
      </c>
      <c r="X41" s="596">
        <v>0</v>
      </c>
      <c r="Y41" s="596">
        <v>0</v>
      </c>
      <c r="Z41" s="596">
        <v>0</v>
      </c>
      <c r="AA41" s="596">
        <v>0</v>
      </c>
      <c r="AB41" s="596">
        <v>0</v>
      </c>
      <c r="AC41" s="596">
        <v>0</v>
      </c>
      <c r="AD41" s="596">
        <v>0</v>
      </c>
      <c r="AE41" s="596">
        <v>0</v>
      </c>
      <c r="AF41" s="596">
        <v>0</v>
      </c>
      <c r="AG41" s="582">
        <v>0</v>
      </c>
      <c r="AH41" s="455">
        <f t="shared" si="0"/>
        <v>0</v>
      </c>
      <c r="AI41" s="582">
        <v>0</v>
      </c>
      <c r="AJ41" s="597" t="s">
        <v>958</v>
      </c>
      <c r="AK41" s="37"/>
    </row>
    <row r="42" spans="1:37" ht="15" customHeight="1" x14ac:dyDescent="0.2">
      <c r="A42" s="116">
        <v>42</v>
      </c>
      <c r="B42" s="200"/>
      <c r="C42" s="189" t="s">
        <v>29</v>
      </c>
      <c r="D42" s="169" t="s">
        <v>301</v>
      </c>
      <c r="E42" s="169" t="s">
        <v>302</v>
      </c>
      <c r="F42" s="179" t="s">
        <v>24</v>
      </c>
      <c r="G42" s="582">
        <v>0</v>
      </c>
      <c r="H42" s="596">
        <v>0</v>
      </c>
      <c r="I42" s="596">
        <v>0</v>
      </c>
      <c r="J42" s="596">
        <v>0</v>
      </c>
      <c r="K42" s="596">
        <v>0</v>
      </c>
      <c r="L42" s="596">
        <v>0</v>
      </c>
      <c r="M42" s="596">
        <v>0</v>
      </c>
      <c r="N42" s="596">
        <v>0</v>
      </c>
      <c r="O42" s="596">
        <v>2</v>
      </c>
      <c r="P42" s="596">
        <v>1</v>
      </c>
      <c r="Q42" s="596">
        <v>2</v>
      </c>
      <c r="R42" s="596">
        <v>1</v>
      </c>
      <c r="S42" s="596">
        <v>1</v>
      </c>
      <c r="T42" s="596">
        <v>0</v>
      </c>
      <c r="U42" s="596">
        <v>5</v>
      </c>
      <c r="V42" s="596">
        <v>0</v>
      </c>
      <c r="W42" s="596">
        <v>2</v>
      </c>
      <c r="X42" s="596">
        <v>6</v>
      </c>
      <c r="Y42" s="596">
        <v>3</v>
      </c>
      <c r="Z42" s="596">
        <v>1</v>
      </c>
      <c r="AA42" s="596">
        <v>7</v>
      </c>
      <c r="AB42" s="596">
        <v>9</v>
      </c>
      <c r="AC42" s="596">
        <v>5</v>
      </c>
      <c r="AD42" s="596">
        <v>0</v>
      </c>
      <c r="AE42" s="596">
        <v>0</v>
      </c>
      <c r="AF42" s="596">
        <v>0</v>
      </c>
      <c r="AG42" s="582">
        <v>0</v>
      </c>
      <c r="AH42" s="455">
        <f t="shared" si="0"/>
        <v>45</v>
      </c>
      <c r="AI42" s="582">
        <v>0</v>
      </c>
      <c r="AJ42" s="595">
        <v>4</v>
      </c>
      <c r="AK42" s="37"/>
    </row>
    <row r="43" spans="1:37" ht="15" customHeight="1" x14ac:dyDescent="0.2">
      <c r="A43" s="116">
        <v>43</v>
      </c>
      <c r="B43" s="200"/>
      <c r="C43" s="189" t="s">
        <v>29</v>
      </c>
      <c r="D43" s="169" t="s">
        <v>301</v>
      </c>
      <c r="E43" s="169" t="s">
        <v>303</v>
      </c>
      <c r="F43" s="179" t="s">
        <v>24</v>
      </c>
      <c r="G43" s="582">
        <v>0</v>
      </c>
      <c r="H43" s="596">
        <v>0</v>
      </c>
      <c r="I43" s="596">
        <v>0</v>
      </c>
      <c r="J43" s="596">
        <v>2</v>
      </c>
      <c r="K43" s="596">
        <v>0</v>
      </c>
      <c r="L43" s="596">
        <v>1</v>
      </c>
      <c r="M43" s="596">
        <v>0</v>
      </c>
      <c r="N43" s="596">
        <v>0</v>
      </c>
      <c r="O43" s="596">
        <v>0</v>
      </c>
      <c r="P43" s="596">
        <v>0</v>
      </c>
      <c r="Q43" s="596">
        <v>0</v>
      </c>
      <c r="R43" s="596">
        <v>0</v>
      </c>
      <c r="S43" s="596">
        <v>0</v>
      </c>
      <c r="T43" s="596">
        <v>0</v>
      </c>
      <c r="U43" s="596">
        <v>0</v>
      </c>
      <c r="V43" s="596">
        <v>0</v>
      </c>
      <c r="W43" s="596">
        <v>0</v>
      </c>
      <c r="X43" s="596">
        <v>0</v>
      </c>
      <c r="Y43" s="596">
        <v>0</v>
      </c>
      <c r="Z43" s="596">
        <v>0</v>
      </c>
      <c r="AA43" s="596">
        <v>0</v>
      </c>
      <c r="AB43" s="596">
        <v>0</v>
      </c>
      <c r="AC43" s="596">
        <v>0</v>
      </c>
      <c r="AD43" s="596">
        <v>0</v>
      </c>
      <c r="AE43" s="596">
        <v>0</v>
      </c>
      <c r="AF43" s="596">
        <v>0</v>
      </c>
      <c r="AG43" s="582">
        <v>6</v>
      </c>
      <c r="AH43" s="455">
        <f t="shared" si="0"/>
        <v>9</v>
      </c>
      <c r="AI43" s="582">
        <v>0</v>
      </c>
      <c r="AJ43" s="595" t="s">
        <v>958</v>
      </c>
      <c r="AK43" s="37"/>
    </row>
    <row r="44" spans="1:37" ht="15" customHeight="1" x14ac:dyDescent="0.2">
      <c r="A44" s="116">
        <v>44</v>
      </c>
      <c r="B44" s="200"/>
      <c r="C44" s="205" t="s">
        <v>29</v>
      </c>
      <c r="D44" s="447" t="s">
        <v>301</v>
      </c>
      <c r="E44" s="447" t="s">
        <v>304</v>
      </c>
      <c r="F44" s="179" t="s">
        <v>24</v>
      </c>
      <c r="G44" s="582">
        <v>4</v>
      </c>
      <c r="H44" s="596">
        <v>1</v>
      </c>
      <c r="I44" s="596">
        <v>715</v>
      </c>
      <c r="J44" s="596">
        <v>645</v>
      </c>
      <c r="K44" s="596">
        <v>582</v>
      </c>
      <c r="L44" s="596">
        <v>495</v>
      </c>
      <c r="M44" s="596">
        <v>478</v>
      </c>
      <c r="N44" s="596">
        <v>50</v>
      </c>
      <c r="O44" s="596">
        <v>101</v>
      </c>
      <c r="P44" s="596">
        <v>149</v>
      </c>
      <c r="Q44" s="596">
        <v>176</v>
      </c>
      <c r="R44" s="596">
        <v>187</v>
      </c>
      <c r="S44" s="596">
        <v>186</v>
      </c>
      <c r="T44" s="596">
        <v>172</v>
      </c>
      <c r="U44" s="596">
        <v>240</v>
      </c>
      <c r="V44" s="596">
        <v>321</v>
      </c>
      <c r="W44" s="596">
        <v>226</v>
      </c>
      <c r="X44" s="596">
        <v>183</v>
      </c>
      <c r="Y44" s="596">
        <v>260</v>
      </c>
      <c r="Z44" s="596">
        <v>272</v>
      </c>
      <c r="AA44" s="596">
        <v>263</v>
      </c>
      <c r="AB44" s="596">
        <v>348</v>
      </c>
      <c r="AC44" s="596">
        <v>225</v>
      </c>
      <c r="AD44" s="596">
        <v>522</v>
      </c>
      <c r="AE44" s="596">
        <v>441</v>
      </c>
      <c r="AF44" s="596">
        <v>4</v>
      </c>
      <c r="AG44" s="582">
        <v>319</v>
      </c>
      <c r="AH44" s="455">
        <f t="shared" si="0"/>
        <v>7565</v>
      </c>
      <c r="AI44" s="582">
        <v>0</v>
      </c>
      <c r="AJ44" s="595">
        <v>2</v>
      </c>
      <c r="AK44" s="37"/>
    </row>
    <row r="45" spans="1:37" ht="15" customHeight="1" x14ac:dyDescent="0.2">
      <c r="A45" s="116">
        <v>45</v>
      </c>
      <c r="B45" s="200"/>
      <c r="C45" s="189" t="s">
        <v>29</v>
      </c>
      <c r="D45" s="447" t="s">
        <v>301</v>
      </c>
      <c r="E45" s="169" t="s">
        <v>305</v>
      </c>
      <c r="F45" s="179" t="s">
        <v>24</v>
      </c>
      <c r="G45" s="582">
        <v>0</v>
      </c>
      <c r="H45" s="596">
        <v>0</v>
      </c>
      <c r="I45" s="596">
        <v>0</v>
      </c>
      <c r="J45" s="596">
        <v>0</v>
      </c>
      <c r="K45" s="596">
        <v>0</v>
      </c>
      <c r="L45" s="596">
        <v>2</v>
      </c>
      <c r="M45" s="596">
        <v>2</v>
      </c>
      <c r="N45" s="596">
        <v>0</v>
      </c>
      <c r="O45" s="596">
        <v>0</v>
      </c>
      <c r="P45" s="596">
        <v>0</v>
      </c>
      <c r="Q45" s="596">
        <v>0</v>
      </c>
      <c r="R45" s="596">
        <v>0</v>
      </c>
      <c r="S45" s="596">
        <v>1</v>
      </c>
      <c r="T45" s="596">
        <v>0</v>
      </c>
      <c r="U45" s="596">
        <v>0</v>
      </c>
      <c r="V45" s="596">
        <v>0</v>
      </c>
      <c r="W45" s="596">
        <v>0</v>
      </c>
      <c r="X45" s="596">
        <v>0</v>
      </c>
      <c r="Y45" s="596">
        <v>0</v>
      </c>
      <c r="Z45" s="596">
        <v>0</v>
      </c>
      <c r="AA45" s="596">
        <v>0</v>
      </c>
      <c r="AB45" s="596">
        <v>0</v>
      </c>
      <c r="AC45" s="596">
        <v>0</v>
      </c>
      <c r="AD45" s="596">
        <v>0</v>
      </c>
      <c r="AE45" s="596">
        <v>5</v>
      </c>
      <c r="AF45" s="596">
        <v>0</v>
      </c>
      <c r="AG45" s="582">
        <v>2</v>
      </c>
      <c r="AH45" s="455">
        <f t="shared" si="0"/>
        <v>12</v>
      </c>
      <c r="AI45" s="582">
        <v>0</v>
      </c>
      <c r="AJ45" s="595">
        <v>3</v>
      </c>
      <c r="AK45" s="37"/>
    </row>
    <row r="46" spans="1:37" ht="15" customHeight="1" x14ac:dyDescent="0.2">
      <c r="A46" s="116">
        <v>46</v>
      </c>
      <c r="B46" s="200"/>
      <c r="C46" s="189" t="s">
        <v>29</v>
      </c>
      <c r="D46" s="169" t="s">
        <v>301</v>
      </c>
      <c r="E46" s="169" t="s">
        <v>50</v>
      </c>
      <c r="F46" s="179" t="s">
        <v>24</v>
      </c>
      <c r="G46" s="582">
        <v>0</v>
      </c>
      <c r="H46" s="596">
        <v>0</v>
      </c>
      <c r="I46" s="596">
        <v>0</v>
      </c>
      <c r="J46" s="596">
        <v>11</v>
      </c>
      <c r="K46" s="596">
        <v>58</v>
      </c>
      <c r="L46" s="596">
        <v>36</v>
      </c>
      <c r="M46" s="596">
        <v>36</v>
      </c>
      <c r="N46" s="596">
        <v>4</v>
      </c>
      <c r="O46" s="596">
        <v>17</v>
      </c>
      <c r="P46" s="596">
        <v>8</v>
      </c>
      <c r="Q46" s="596">
        <v>16</v>
      </c>
      <c r="R46" s="596">
        <v>16</v>
      </c>
      <c r="S46" s="596">
        <v>11</v>
      </c>
      <c r="T46" s="596">
        <v>7</v>
      </c>
      <c r="U46" s="596">
        <v>17</v>
      </c>
      <c r="V46" s="596">
        <v>11</v>
      </c>
      <c r="W46" s="596">
        <v>19</v>
      </c>
      <c r="X46" s="596">
        <v>6</v>
      </c>
      <c r="Y46" s="596">
        <v>10</v>
      </c>
      <c r="Z46" s="596">
        <v>5</v>
      </c>
      <c r="AA46" s="596">
        <v>7</v>
      </c>
      <c r="AB46" s="596">
        <v>27</v>
      </c>
      <c r="AC46" s="596">
        <v>24</v>
      </c>
      <c r="AD46" s="596">
        <v>14</v>
      </c>
      <c r="AE46" s="596">
        <v>13</v>
      </c>
      <c r="AF46" s="596">
        <v>1</v>
      </c>
      <c r="AG46" s="582">
        <v>12</v>
      </c>
      <c r="AH46" s="455">
        <f t="shared" si="0"/>
        <v>386</v>
      </c>
      <c r="AI46" s="582">
        <v>0</v>
      </c>
      <c r="AJ46" s="595">
        <v>3</v>
      </c>
      <c r="AK46" s="37"/>
    </row>
    <row r="47" spans="1:37" ht="15" customHeight="1" x14ac:dyDescent="0.2">
      <c r="A47" s="116">
        <v>47</v>
      </c>
      <c r="B47" s="200"/>
      <c r="C47" s="189" t="s">
        <v>29</v>
      </c>
      <c r="D47" s="169" t="s">
        <v>306</v>
      </c>
      <c r="E47" s="169" t="s">
        <v>51</v>
      </c>
      <c r="F47" s="179" t="s">
        <v>24</v>
      </c>
      <c r="G47" s="582">
        <v>0</v>
      </c>
      <c r="H47" s="596">
        <v>0</v>
      </c>
      <c r="I47" s="596">
        <v>161</v>
      </c>
      <c r="J47" s="596">
        <v>359</v>
      </c>
      <c r="K47" s="596">
        <v>592</v>
      </c>
      <c r="L47" s="596">
        <v>610</v>
      </c>
      <c r="M47" s="596">
        <v>679</v>
      </c>
      <c r="N47" s="596">
        <v>84</v>
      </c>
      <c r="O47" s="596">
        <v>155</v>
      </c>
      <c r="P47" s="596">
        <v>180</v>
      </c>
      <c r="Q47" s="596">
        <v>183</v>
      </c>
      <c r="R47" s="596">
        <v>196</v>
      </c>
      <c r="S47" s="596">
        <v>212</v>
      </c>
      <c r="T47" s="596">
        <v>198</v>
      </c>
      <c r="U47" s="596">
        <v>190</v>
      </c>
      <c r="V47" s="596">
        <v>210</v>
      </c>
      <c r="W47" s="596">
        <v>147</v>
      </c>
      <c r="X47" s="596">
        <v>117</v>
      </c>
      <c r="Y47" s="596">
        <v>110</v>
      </c>
      <c r="Z47" s="596">
        <v>160</v>
      </c>
      <c r="AA47" s="596">
        <v>147</v>
      </c>
      <c r="AB47" s="596">
        <v>175</v>
      </c>
      <c r="AC47" s="596">
        <v>121</v>
      </c>
      <c r="AD47" s="596">
        <v>131</v>
      </c>
      <c r="AE47" s="596">
        <v>93</v>
      </c>
      <c r="AF47" s="596">
        <v>2</v>
      </c>
      <c r="AG47" s="582">
        <v>134</v>
      </c>
      <c r="AH47" s="455">
        <f t="shared" si="0"/>
        <v>5346</v>
      </c>
      <c r="AI47" s="582">
        <v>8</v>
      </c>
      <c r="AJ47" s="595">
        <v>2</v>
      </c>
      <c r="AK47" s="37"/>
    </row>
    <row r="48" spans="1:37" ht="15" customHeight="1" x14ac:dyDescent="0.2">
      <c r="A48" s="116">
        <v>48</v>
      </c>
      <c r="B48" s="200"/>
      <c r="C48" s="189" t="s">
        <v>29</v>
      </c>
      <c r="D48" s="169" t="s">
        <v>306</v>
      </c>
      <c r="E48" s="169" t="s">
        <v>52</v>
      </c>
      <c r="F48" s="179" t="s">
        <v>24</v>
      </c>
      <c r="G48" s="582">
        <v>0</v>
      </c>
      <c r="H48" s="596">
        <v>0</v>
      </c>
      <c r="I48" s="596">
        <v>0</v>
      </c>
      <c r="J48" s="596">
        <v>9</v>
      </c>
      <c r="K48" s="596">
        <v>84</v>
      </c>
      <c r="L48" s="596">
        <v>99</v>
      </c>
      <c r="M48" s="596">
        <v>63</v>
      </c>
      <c r="N48" s="596">
        <v>6</v>
      </c>
      <c r="O48" s="596">
        <v>9</v>
      </c>
      <c r="P48" s="596">
        <v>33</v>
      </c>
      <c r="Q48" s="596">
        <v>39</v>
      </c>
      <c r="R48" s="596">
        <v>23</v>
      </c>
      <c r="S48" s="596">
        <v>43</v>
      </c>
      <c r="T48" s="596">
        <v>40</v>
      </c>
      <c r="U48" s="596">
        <v>41</v>
      </c>
      <c r="V48" s="596">
        <v>50</v>
      </c>
      <c r="W48" s="596">
        <v>44</v>
      </c>
      <c r="X48" s="596">
        <v>27</v>
      </c>
      <c r="Y48" s="596">
        <v>20</v>
      </c>
      <c r="Z48" s="596">
        <v>25</v>
      </c>
      <c r="AA48" s="596">
        <v>32</v>
      </c>
      <c r="AB48" s="596">
        <v>33</v>
      </c>
      <c r="AC48" s="596">
        <v>39</v>
      </c>
      <c r="AD48" s="596">
        <v>56</v>
      </c>
      <c r="AE48" s="596">
        <v>36</v>
      </c>
      <c r="AF48" s="596">
        <v>18</v>
      </c>
      <c r="AG48" s="582">
        <v>32</v>
      </c>
      <c r="AH48" s="455">
        <f t="shared" si="0"/>
        <v>901</v>
      </c>
      <c r="AI48" s="582">
        <v>31</v>
      </c>
      <c r="AJ48" s="595">
        <v>2</v>
      </c>
      <c r="AK48" s="37"/>
    </row>
    <row r="49" spans="1:37" ht="15" customHeight="1" x14ac:dyDescent="0.2">
      <c r="A49" s="116">
        <v>49</v>
      </c>
      <c r="B49" s="200"/>
      <c r="C49" s="189" t="s">
        <v>29</v>
      </c>
      <c r="D49" s="169" t="s">
        <v>307</v>
      </c>
      <c r="E49" s="169" t="s">
        <v>19</v>
      </c>
      <c r="F49" s="179" t="s">
        <v>24</v>
      </c>
      <c r="G49" s="582">
        <v>0</v>
      </c>
      <c r="H49" s="596">
        <v>0</v>
      </c>
      <c r="I49" s="596">
        <v>0</v>
      </c>
      <c r="J49" s="596">
        <v>0</v>
      </c>
      <c r="K49" s="596">
        <v>0</v>
      </c>
      <c r="L49" s="596">
        <v>0</v>
      </c>
      <c r="M49" s="596">
        <v>0</v>
      </c>
      <c r="N49" s="596">
        <v>0</v>
      </c>
      <c r="O49" s="596">
        <v>0</v>
      </c>
      <c r="P49" s="596">
        <v>1</v>
      </c>
      <c r="Q49" s="596">
        <v>1</v>
      </c>
      <c r="R49" s="596" t="s">
        <v>7</v>
      </c>
      <c r="S49" s="596" t="s">
        <v>7</v>
      </c>
      <c r="T49" s="596" t="s">
        <v>7</v>
      </c>
      <c r="U49" s="596">
        <v>2</v>
      </c>
      <c r="V49" s="596">
        <v>5</v>
      </c>
      <c r="W49" s="596">
        <v>11</v>
      </c>
      <c r="X49" s="596">
        <v>1</v>
      </c>
      <c r="Y49" s="596">
        <v>2</v>
      </c>
      <c r="Z49" s="596">
        <v>0</v>
      </c>
      <c r="AA49" s="596">
        <v>2</v>
      </c>
      <c r="AB49" s="596">
        <v>3</v>
      </c>
      <c r="AC49" s="596">
        <v>0</v>
      </c>
      <c r="AD49" s="596">
        <v>2</v>
      </c>
      <c r="AE49" s="596">
        <v>0</v>
      </c>
      <c r="AF49" s="596">
        <v>1</v>
      </c>
      <c r="AG49" s="582">
        <v>0</v>
      </c>
      <c r="AH49" s="455">
        <f t="shared" si="0"/>
        <v>31</v>
      </c>
      <c r="AI49" s="582">
        <v>0</v>
      </c>
      <c r="AJ49" s="595">
        <v>4</v>
      </c>
      <c r="AK49" s="37"/>
    </row>
    <row r="50" spans="1:37" ht="15" customHeight="1" x14ac:dyDescent="0.2">
      <c r="A50" s="116">
        <v>50</v>
      </c>
      <c r="B50" s="200"/>
      <c r="C50" s="189" t="s">
        <v>29</v>
      </c>
      <c r="D50" s="169" t="s">
        <v>308</v>
      </c>
      <c r="E50" s="169" t="s">
        <v>53</v>
      </c>
      <c r="F50" s="179" t="s">
        <v>24</v>
      </c>
      <c r="G50" s="582">
        <v>0</v>
      </c>
      <c r="H50" s="596">
        <v>0</v>
      </c>
      <c r="I50" s="596">
        <v>0</v>
      </c>
      <c r="J50" s="596">
        <v>0</v>
      </c>
      <c r="K50" s="596">
        <v>0</v>
      </c>
      <c r="L50" s="596">
        <v>0</v>
      </c>
      <c r="M50" s="596">
        <v>0</v>
      </c>
      <c r="N50" s="596">
        <v>0</v>
      </c>
      <c r="O50" s="596">
        <v>0</v>
      </c>
      <c r="P50" s="596">
        <v>0</v>
      </c>
      <c r="Q50" s="596">
        <v>0</v>
      </c>
      <c r="R50" s="596">
        <v>0</v>
      </c>
      <c r="S50" s="596">
        <v>0</v>
      </c>
      <c r="T50" s="596">
        <v>0</v>
      </c>
      <c r="U50" s="596">
        <v>0</v>
      </c>
      <c r="V50" s="596">
        <v>0</v>
      </c>
      <c r="W50" s="596">
        <v>0</v>
      </c>
      <c r="X50" s="596">
        <v>0</v>
      </c>
      <c r="Y50" s="596">
        <v>0</v>
      </c>
      <c r="Z50" s="596">
        <v>0</v>
      </c>
      <c r="AA50" s="596">
        <v>0</v>
      </c>
      <c r="AB50" s="596">
        <v>0</v>
      </c>
      <c r="AC50" s="596">
        <v>0</v>
      </c>
      <c r="AD50" s="596">
        <v>0</v>
      </c>
      <c r="AE50" s="596">
        <v>0</v>
      </c>
      <c r="AF50" s="596">
        <v>0</v>
      </c>
      <c r="AG50" s="582">
        <v>0</v>
      </c>
      <c r="AH50" s="455">
        <f t="shared" si="0"/>
        <v>0</v>
      </c>
      <c r="AI50" s="582">
        <v>0</v>
      </c>
      <c r="AJ50" s="595" t="s">
        <v>958</v>
      </c>
      <c r="AK50" s="37"/>
    </row>
    <row r="51" spans="1:37" ht="15" customHeight="1" x14ac:dyDescent="0.2">
      <c r="A51" s="116">
        <v>51</v>
      </c>
      <c r="B51" s="200"/>
      <c r="C51" s="189" t="s">
        <v>54</v>
      </c>
      <c r="D51" s="169" t="s">
        <v>309</v>
      </c>
      <c r="E51" s="169" t="s">
        <v>310</v>
      </c>
      <c r="F51" s="179" t="s">
        <v>31</v>
      </c>
      <c r="G51" s="582">
        <v>0.15</v>
      </c>
      <c r="H51" s="596">
        <v>0</v>
      </c>
      <c r="I51" s="596">
        <v>60.67</v>
      </c>
      <c r="J51" s="596">
        <v>122.95</v>
      </c>
      <c r="K51" s="596">
        <v>103.31</v>
      </c>
      <c r="L51" s="596">
        <v>39.950000000000003</v>
      </c>
      <c r="M51" s="596">
        <v>18.600000000000001</v>
      </c>
      <c r="N51" s="596">
        <v>0.88</v>
      </c>
      <c r="O51" s="596">
        <v>0.89</v>
      </c>
      <c r="P51" s="596">
        <v>1.22</v>
      </c>
      <c r="Q51" s="596">
        <v>1.48</v>
      </c>
      <c r="R51" s="596">
        <v>1.29</v>
      </c>
      <c r="S51" s="596">
        <v>0.87</v>
      </c>
      <c r="T51" s="596">
        <v>0.95</v>
      </c>
      <c r="U51" s="596">
        <v>0.45</v>
      </c>
      <c r="V51" s="596">
        <v>0.9</v>
      </c>
      <c r="W51" s="596">
        <v>1.39</v>
      </c>
      <c r="X51" s="596">
        <v>0.7</v>
      </c>
      <c r="Y51" s="596">
        <v>0.66</v>
      </c>
      <c r="Z51" s="596">
        <v>0.42</v>
      </c>
      <c r="AA51" s="596">
        <v>0.78</v>
      </c>
      <c r="AB51" s="596">
        <v>0.49</v>
      </c>
      <c r="AC51" s="596">
        <v>0.88</v>
      </c>
      <c r="AD51" s="596">
        <v>0.35</v>
      </c>
      <c r="AE51" s="596">
        <v>0.56999999999999995</v>
      </c>
      <c r="AF51" s="596">
        <v>0.36</v>
      </c>
      <c r="AG51" s="582">
        <v>1.92</v>
      </c>
      <c r="AH51" s="455">
        <f t="shared" si="0"/>
        <v>363.0800000000001</v>
      </c>
      <c r="AI51" s="582">
        <v>0</v>
      </c>
      <c r="AJ51" s="595">
        <v>3</v>
      </c>
      <c r="AK51" s="37"/>
    </row>
    <row r="52" spans="1:37" ht="15" customHeight="1" x14ac:dyDescent="0.2">
      <c r="A52" s="116">
        <v>52</v>
      </c>
      <c r="B52" s="200"/>
      <c r="C52" s="189" t="s">
        <v>54</v>
      </c>
      <c r="D52" s="169" t="s">
        <v>311</v>
      </c>
      <c r="E52" s="169" t="s">
        <v>312</v>
      </c>
      <c r="F52" s="179" t="s">
        <v>31</v>
      </c>
      <c r="G52" s="582">
        <v>0.04</v>
      </c>
      <c r="H52" s="596">
        <v>0</v>
      </c>
      <c r="I52" s="596">
        <v>0.28000000000000003</v>
      </c>
      <c r="J52" s="596">
        <v>13.27</v>
      </c>
      <c r="K52" s="596">
        <v>73.819999999999993</v>
      </c>
      <c r="L52" s="596">
        <v>88.45</v>
      </c>
      <c r="M52" s="596">
        <v>66.959999999999994</v>
      </c>
      <c r="N52" s="596">
        <v>3.63</v>
      </c>
      <c r="O52" s="596">
        <v>3.53</v>
      </c>
      <c r="P52" s="596">
        <v>3.88</v>
      </c>
      <c r="Q52" s="596">
        <v>4.5199999999999996</v>
      </c>
      <c r="R52" s="596">
        <v>6.71</v>
      </c>
      <c r="S52" s="596">
        <v>7.49</v>
      </c>
      <c r="T52" s="596">
        <v>8.85</v>
      </c>
      <c r="U52" s="596">
        <v>7.66</v>
      </c>
      <c r="V52" s="596">
        <v>6.33</v>
      </c>
      <c r="W52" s="596">
        <v>7.27</v>
      </c>
      <c r="X52" s="596">
        <v>8.18</v>
      </c>
      <c r="Y52" s="596">
        <v>4.8499999999999996</v>
      </c>
      <c r="Z52" s="596">
        <v>3.39</v>
      </c>
      <c r="AA52" s="596">
        <v>2.95</v>
      </c>
      <c r="AB52" s="596">
        <v>2.5</v>
      </c>
      <c r="AC52" s="596">
        <v>2.4900000000000002</v>
      </c>
      <c r="AD52" s="596">
        <v>6.78</v>
      </c>
      <c r="AE52" s="596">
        <v>2.65</v>
      </c>
      <c r="AF52" s="596">
        <v>2.87</v>
      </c>
      <c r="AG52" s="582">
        <v>1.69</v>
      </c>
      <c r="AH52" s="455">
        <f t="shared" si="0"/>
        <v>341.03999999999996</v>
      </c>
      <c r="AI52" s="582">
        <v>0</v>
      </c>
      <c r="AJ52" s="595">
        <v>3</v>
      </c>
      <c r="AK52" s="37"/>
    </row>
    <row r="53" spans="1:37" ht="15" customHeight="1" x14ac:dyDescent="0.2">
      <c r="A53" s="116">
        <v>53</v>
      </c>
      <c r="B53" s="200"/>
      <c r="C53" s="189" t="s">
        <v>54</v>
      </c>
      <c r="D53" s="169" t="s">
        <v>463</v>
      </c>
      <c r="E53" s="169" t="s">
        <v>313</v>
      </c>
      <c r="F53" s="179" t="s">
        <v>31</v>
      </c>
      <c r="G53" s="582">
        <v>0</v>
      </c>
      <c r="H53" s="596">
        <v>0</v>
      </c>
      <c r="I53" s="596">
        <v>0</v>
      </c>
      <c r="J53" s="596">
        <v>0</v>
      </c>
      <c r="K53" s="596">
        <v>0</v>
      </c>
      <c r="L53" s="596">
        <v>0</v>
      </c>
      <c r="M53" s="596">
        <v>0</v>
      </c>
      <c r="N53" s="596">
        <v>0</v>
      </c>
      <c r="O53" s="596">
        <v>0</v>
      </c>
      <c r="P53" s="596">
        <v>0</v>
      </c>
      <c r="Q53" s="596">
        <v>0</v>
      </c>
      <c r="R53" s="596">
        <v>0</v>
      </c>
      <c r="S53" s="596">
        <v>0</v>
      </c>
      <c r="T53" s="596">
        <v>0</v>
      </c>
      <c r="U53" s="596">
        <v>0</v>
      </c>
      <c r="V53" s="596">
        <v>0</v>
      </c>
      <c r="W53" s="596">
        <v>0</v>
      </c>
      <c r="X53" s="596">
        <v>0</v>
      </c>
      <c r="Y53" s="596">
        <v>0</v>
      </c>
      <c r="Z53" s="596">
        <v>0</v>
      </c>
      <c r="AA53" s="596">
        <v>0</v>
      </c>
      <c r="AB53" s="596">
        <v>0</v>
      </c>
      <c r="AC53" s="596">
        <v>0</v>
      </c>
      <c r="AD53" s="596">
        <v>0</v>
      </c>
      <c r="AE53" s="596">
        <v>0</v>
      </c>
      <c r="AF53" s="596">
        <v>0</v>
      </c>
      <c r="AG53" s="582">
        <v>0</v>
      </c>
      <c r="AH53" s="455">
        <f t="shared" si="0"/>
        <v>0</v>
      </c>
      <c r="AI53" s="582">
        <v>0</v>
      </c>
      <c r="AJ53" s="595" t="s">
        <v>958</v>
      </c>
      <c r="AK53" s="37"/>
    </row>
    <row r="54" spans="1:37" ht="15" customHeight="1" x14ac:dyDescent="0.2">
      <c r="A54" s="116">
        <v>54</v>
      </c>
      <c r="B54" s="200"/>
      <c r="C54" s="189" t="s">
        <v>54</v>
      </c>
      <c r="D54" s="169" t="s">
        <v>55</v>
      </c>
      <c r="E54" s="169" t="s">
        <v>432</v>
      </c>
      <c r="F54" s="179" t="s">
        <v>24</v>
      </c>
      <c r="G54" s="582">
        <v>0</v>
      </c>
      <c r="H54" s="596">
        <v>0</v>
      </c>
      <c r="I54" s="596">
        <v>0</v>
      </c>
      <c r="J54" s="596">
        <v>0</v>
      </c>
      <c r="K54" s="596">
        <v>0</v>
      </c>
      <c r="L54" s="596">
        <v>0</v>
      </c>
      <c r="M54" s="596">
        <v>0</v>
      </c>
      <c r="N54" s="596">
        <v>26645</v>
      </c>
      <c r="O54" s="596">
        <v>252</v>
      </c>
      <c r="P54" s="596">
        <v>281</v>
      </c>
      <c r="Q54" s="596">
        <v>327</v>
      </c>
      <c r="R54" s="596">
        <v>343</v>
      </c>
      <c r="S54" s="596">
        <v>448</v>
      </c>
      <c r="T54" s="596">
        <v>462</v>
      </c>
      <c r="U54" s="596">
        <v>410</v>
      </c>
      <c r="V54" s="596">
        <v>453</v>
      </c>
      <c r="W54" s="596">
        <v>443</v>
      </c>
      <c r="X54" s="596">
        <v>363</v>
      </c>
      <c r="Y54" s="596">
        <v>259</v>
      </c>
      <c r="Z54" s="596">
        <v>314</v>
      </c>
      <c r="AA54" s="596">
        <v>329</v>
      </c>
      <c r="AB54" s="596">
        <v>396</v>
      </c>
      <c r="AC54" s="596">
        <v>354</v>
      </c>
      <c r="AD54" s="596">
        <v>361</v>
      </c>
      <c r="AE54" s="596">
        <v>342</v>
      </c>
      <c r="AF54" s="596">
        <v>289</v>
      </c>
      <c r="AG54" s="582">
        <v>0</v>
      </c>
      <c r="AH54" s="455">
        <f t="shared" si="0"/>
        <v>33071</v>
      </c>
      <c r="AI54" s="582">
        <v>0</v>
      </c>
      <c r="AJ54" s="597">
        <v>4</v>
      </c>
      <c r="AK54" s="37"/>
    </row>
    <row r="55" spans="1:37" ht="15" customHeight="1" x14ac:dyDescent="0.2">
      <c r="A55" s="116">
        <v>55</v>
      </c>
      <c r="B55" s="200"/>
      <c r="C55" s="189" t="s">
        <v>22</v>
      </c>
      <c r="D55" s="169" t="s">
        <v>56</v>
      </c>
      <c r="E55" s="169" t="s">
        <v>57</v>
      </c>
      <c r="F55" s="179" t="s">
        <v>24</v>
      </c>
      <c r="G55" s="582">
        <v>0</v>
      </c>
      <c r="H55" s="596">
        <v>0</v>
      </c>
      <c r="I55" s="596">
        <v>0</v>
      </c>
      <c r="J55" s="596">
        <v>0</v>
      </c>
      <c r="K55" s="596">
        <v>9</v>
      </c>
      <c r="L55" s="596">
        <v>9</v>
      </c>
      <c r="M55" s="596">
        <v>0</v>
      </c>
      <c r="N55" s="596">
        <v>0</v>
      </c>
      <c r="O55" s="596">
        <v>0</v>
      </c>
      <c r="P55" s="596">
        <v>0</v>
      </c>
      <c r="Q55" s="596">
        <v>0</v>
      </c>
      <c r="R55" s="596">
        <v>26</v>
      </c>
      <c r="S55" s="596">
        <v>6</v>
      </c>
      <c r="T55" s="596">
        <v>11</v>
      </c>
      <c r="U55" s="596">
        <v>0</v>
      </c>
      <c r="V55" s="596">
        <v>13</v>
      </c>
      <c r="W55" s="596">
        <v>10</v>
      </c>
      <c r="X55" s="596">
        <v>21</v>
      </c>
      <c r="Y55" s="596">
        <v>119</v>
      </c>
      <c r="Z55" s="596">
        <v>59</v>
      </c>
      <c r="AA55" s="596">
        <v>11</v>
      </c>
      <c r="AB55" s="596">
        <v>37</v>
      </c>
      <c r="AC55" s="596">
        <v>45</v>
      </c>
      <c r="AD55" s="596">
        <v>28</v>
      </c>
      <c r="AE55" s="596">
        <v>9</v>
      </c>
      <c r="AF55" s="596">
        <v>0</v>
      </c>
      <c r="AG55" s="582">
        <v>11</v>
      </c>
      <c r="AH55" s="455">
        <f t="shared" si="0"/>
        <v>424</v>
      </c>
      <c r="AI55" s="582">
        <v>0</v>
      </c>
      <c r="AJ55" s="595" t="s">
        <v>958</v>
      </c>
      <c r="AK55" s="37"/>
    </row>
    <row r="56" spans="1:37" ht="15" customHeight="1" x14ac:dyDescent="0.2">
      <c r="A56" s="116">
        <v>56</v>
      </c>
      <c r="B56" s="200"/>
      <c r="C56" s="189" t="s">
        <v>22</v>
      </c>
      <c r="D56" s="169" t="s">
        <v>58</v>
      </c>
      <c r="E56" s="169" t="s">
        <v>392</v>
      </c>
      <c r="F56" s="179" t="s">
        <v>316</v>
      </c>
      <c r="G56" s="582">
        <v>0</v>
      </c>
      <c r="H56" s="596">
        <v>0</v>
      </c>
      <c r="I56" s="596">
        <v>0</v>
      </c>
      <c r="J56" s="596">
        <v>30</v>
      </c>
      <c r="K56" s="596">
        <v>15</v>
      </c>
      <c r="L56" s="596">
        <v>322</v>
      </c>
      <c r="M56" s="596">
        <v>48</v>
      </c>
      <c r="N56" s="596">
        <v>0</v>
      </c>
      <c r="O56" s="596">
        <v>1</v>
      </c>
      <c r="P56" s="596">
        <v>0</v>
      </c>
      <c r="Q56" s="596">
        <v>0</v>
      </c>
      <c r="R56" s="596">
        <v>1</v>
      </c>
      <c r="S56" s="596">
        <v>1</v>
      </c>
      <c r="T56" s="596">
        <v>0</v>
      </c>
      <c r="U56" s="596">
        <v>0</v>
      </c>
      <c r="V56" s="596">
        <v>0</v>
      </c>
      <c r="W56" s="596">
        <v>0</v>
      </c>
      <c r="X56" s="596">
        <v>20</v>
      </c>
      <c r="Y56" s="596">
        <v>22</v>
      </c>
      <c r="Z56" s="596">
        <v>39</v>
      </c>
      <c r="AA56" s="596">
        <v>12</v>
      </c>
      <c r="AB56" s="596">
        <v>181</v>
      </c>
      <c r="AC56" s="596">
        <v>21</v>
      </c>
      <c r="AD56" s="596">
        <v>4</v>
      </c>
      <c r="AE56" s="596">
        <v>2</v>
      </c>
      <c r="AF56" s="596">
        <v>3</v>
      </c>
      <c r="AG56" s="582">
        <v>94</v>
      </c>
      <c r="AH56" s="455">
        <f t="shared" si="0"/>
        <v>816</v>
      </c>
      <c r="AI56" s="582">
        <v>0</v>
      </c>
      <c r="AJ56" s="597">
        <v>4</v>
      </c>
      <c r="AK56" s="37"/>
    </row>
    <row r="57" spans="1:37" ht="15" customHeight="1" x14ac:dyDescent="0.2">
      <c r="A57" s="116">
        <v>57</v>
      </c>
      <c r="B57" s="200"/>
      <c r="C57" s="189" t="s">
        <v>22</v>
      </c>
      <c r="D57" s="169" t="s">
        <v>314</v>
      </c>
      <c r="E57" s="169" t="s">
        <v>27</v>
      </c>
      <c r="F57" s="179" t="s">
        <v>28</v>
      </c>
      <c r="G57" s="582">
        <v>0</v>
      </c>
      <c r="H57" s="596">
        <v>0</v>
      </c>
      <c r="I57" s="596">
        <v>0</v>
      </c>
      <c r="J57" s="596">
        <v>0</v>
      </c>
      <c r="K57" s="596">
        <v>0</v>
      </c>
      <c r="L57" s="596">
        <v>2</v>
      </c>
      <c r="M57" s="596">
        <v>1</v>
      </c>
      <c r="N57" s="596">
        <v>0</v>
      </c>
      <c r="O57" s="596">
        <v>0</v>
      </c>
      <c r="P57" s="596">
        <v>0</v>
      </c>
      <c r="Q57" s="596">
        <v>0</v>
      </c>
      <c r="R57" s="596">
        <v>0</v>
      </c>
      <c r="S57" s="596">
        <v>1</v>
      </c>
      <c r="T57" s="596">
        <v>0</v>
      </c>
      <c r="U57" s="596">
        <v>0</v>
      </c>
      <c r="V57" s="596">
        <v>1</v>
      </c>
      <c r="W57" s="596">
        <v>1</v>
      </c>
      <c r="X57" s="596">
        <v>6</v>
      </c>
      <c r="Y57" s="596">
        <v>0</v>
      </c>
      <c r="Z57" s="596">
        <v>2</v>
      </c>
      <c r="AA57" s="596">
        <v>0</v>
      </c>
      <c r="AB57" s="596">
        <v>0</v>
      </c>
      <c r="AC57" s="596">
        <v>1</v>
      </c>
      <c r="AD57" s="596">
        <v>0</v>
      </c>
      <c r="AE57" s="596">
        <v>0</v>
      </c>
      <c r="AF57" s="596">
        <v>1</v>
      </c>
      <c r="AG57" s="582">
        <v>0</v>
      </c>
      <c r="AH57" s="455">
        <f t="shared" si="0"/>
        <v>16</v>
      </c>
      <c r="AI57" s="582">
        <v>0</v>
      </c>
      <c r="AJ57" s="597">
        <v>4</v>
      </c>
      <c r="AK57" s="37"/>
    </row>
    <row r="58" spans="1:37" ht="15" customHeight="1" x14ac:dyDescent="0.2">
      <c r="A58" s="116">
        <v>58</v>
      </c>
      <c r="B58" s="200"/>
      <c r="C58" s="189" t="s">
        <v>22</v>
      </c>
      <c r="D58" s="169" t="s">
        <v>315</v>
      </c>
      <c r="E58" s="169" t="s">
        <v>61</v>
      </c>
      <c r="F58" s="179" t="s">
        <v>316</v>
      </c>
      <c r="G58" s="582">
        <v>0</v>
      </c>
      <c r="H58" s="596">
        <v>0</v>
      </c>
      <c r="I58" s="596">
        <v>0</v>
      </c>
      <c r="J58" s="596">
        <v>1</v>
      </c>
      <c r="K58" s="596">
        <v>1</v>
      </c>
      <c r="L58" s="596">
        <v>1</v>
      </c>
      <c r="M58" s="596">
        <v>0</v>
      </c>
      <c r="N58" s="596">
        <v>0</v>
      </c>
      <c r="O58" s="596">
        <v>0</v>
      </c>
      <c r="P58" s="596">
        <v>0</v>
      </c>
      <c r="Q58" s="596">
        <v>1</v>
      </c>
      <c r="R58" s="596">
        <v>0</v>
      </c>
      <c r="S58" s="596">
        <v>1</v>
      </c>
      <c r="T58" s="596">
        <v>0</v>
      </c>
      <c r="U58" s="596">
        <v>0</v>
      </c>
      <c r="V58" s="596">
        <v>0</v>
      </c>
      <c r="W58" s="596">
        <v>1</v>
      </c>
      <c r="X58" s="596">
        <v>0</v>
      </c>
      <c r="Y58" s="596">
        <v>0</v>
      </c>
      <c r="Z58" s="596">
        <v>0</v>
      </c>
      <c r="AA58" s="596">
        <v>0</v>
      </c>
      <c r="AB58" s="596">
        <v>0</v>
      </c>
      <c r="AC58" s="596">
        <v>0</v>
      </c>
      <c r="AD58" s="596">
        <v>0</v>
      </c>
      <c r="AE58" s="596">
        <v>0</v>
      </c>
      <c r="AF58" s="596">
        <v>0</v>
      </c>
      <c r="AG58" s="582">
        <v>1</v>
      </c>
      <c r="AH58" s="455">
        <f t="shared" si="0"/>
        <v>7</v>
      </c>
      <c r="AI58" s="582">
        <v>0</v>
      </c>
      <c r="AJ58" s="597">
        <v>4</v>
      </c>
      <c r="AK58" s="37"/>
    </row>
    <row r="59" spans="1:37" ht="15" customHeight="1" x14ac:dyDescent="0.2">
      <c r="A59" s="116">
        <v>59</v>
      </c>
      <c r="B59" s="200"/>
      <c r="C59" s="189" t="s">
        <v>22</v>
      </c>
      <c r="D59" s="169" t="s">
        <v>315</v>
      </c>
      <c r="E59" s="169" t="s">
        <v>62</v>
      </c>
      <c r="F59" s="179" t="s">
        <v>28</v>
      </c>
      <c r="G59" s="582">
        <v>3734</v>
      </c>
      <c r="H59" s="596">
        <v>19</v>
      </c>
      <c r="I59" s="596">
        <v>47</v>
      </c>
      <c r="J59" s="596">
        <v>189</v>
      </c>
      <c r="K59" s="596">
        <v>317</v>
      </c>
      <c r="L59" s="596">
        <v>170</v>
      </c>
      <c r="M59" s="596">
        <v>420</v>
      </c>
      <c r="N59" s="596">
        <v>214</v>
      </c>
      <c r="O59" s="596">
        <v>79</v>
      </c>
      <c r="P59" s="596">
        <v>90</v>
      </c>
      <c r="Q59" s="596">
        <v>124</v>
      </c>
      <c r="R59" s="596">
        <v>119</v>
      </c>
      <c r="S59" s="596">
        <v>128</v>
      </c>
      <c r="T59" s="596">
        <v>165</v>
      </c>
      <c r="U59" s="596">
        <v>264</v>
      </c>
      <c r="V59" s="596">
        <v>1269</v>
      </c>
      <c r="W59" s="596">
        <v>325</v>
      </c>
      <c r="X59" s="596">
        <v>300</v>
      </c>
      <c r="Y59" s="596">
        <v>338</v>
      </c>
      <c r="Z59" s="596">
        <v>1204</v>
      </c>
      <c r="AA59" s="596">
        <v>9758</v>
      </c>
      <c r="AB59" s="596">
        <v>344</v>
      </c>
      <c r="AC59" s="596">
        <v>153</v>
      </c>
      <c r="AD59" s="596">
        <v>410</v>
      </c>
      <c r="AE59" s="596">
        <v>18</v>
      </c>
      <c r="AF59" s="596">
        <v>2</v>
      </c>
      <c r="AG59" s="582"/>
      <c r="AH59" s="455">
        <f t="shared" si="0"/>
        <v>20200</v>
      </c>
      <c r="AI59" s="582">
        <v>3628</v>
      </c>
      <c r="AJ59" s="595">
        <v>2</v>
      </c>
      <c r="AK59" s="37"/>
    </row>
    <row r="60" spans="1:37" ht="15" customHeight="1" x14ac:dyDescent="0.2">
      <c r="A60" s="116">
        <v>60</v>
      </c>
      <c r="B60" s="200"/>
      <c r="C60" s="189" t="s">
        <v>22</v>
      </c>
      <c r="D60" s="169" t="s">
        <v>59</v>
      </c>
      <c r="E60" s="169" t="s">
        <v>60</v>
      </c>
      <c r="F60" s="179" t="s">
        <v>31</v>
      </c>
      <c r="G60" s="582">
        <v>0</v>
      </c>
      <c r="H60" s="596">
        <v>0</v>
      </c>
      <c r="I60" s="596">
        <v>0</v>
      </c>
      <c r="J60" s="596">
        <v>0</v>
      </c>
      <c r="K60" s="596">
        <v>0</v>
      </c>
      <c r="L60" s="596">
        <v>0</v>
      </c>
      <c r="M60" s="596">
        <v>0</v>
      </c>
      <c r="N60" s="596">
        <v>0</v>
      </c>
      <c r="O60" s="596">
        <v>0</v>
      </c>
      <c r="P60" s="596">
        <v>0</v>
      </c>
      <c r="Q60" s="596">
        <v>0</v>
      </c>
      <c r="R60" s="596">
        <v>0</v>
      </c>
      <c r="S60" s="596">
        <v>0</v>
      </c>
      <c r="T60" s="596">
        <v>0</v>
      </c>
      <c r="U60" s="596">
        <v>0</v>
      </c>
      <c r="V60" s="596">
        <v>0</v>
      </c>
      <c r="W60" s="596">
        <v>0</v>
      </c>
      <c r="X60" s="596">
        <v>0</v>
      </c>
      <c r="Y60" s="596">
        <v>0.08</v>
      </c>
      <c r="Z60" s="596">
        <v>0</v>
      </c>
      <c r="AA60" s="596">
        <v>0</v>
      </c>
      <c r="AB60" s="596">
        <v>0</v>
      </c>
      <c r="AC60" s="596">
        <v>0</v>
      </c>
      <c r="AD60" s="596">
        <v>0</v>
      </c>
      <c r="AE60" s="596">
        <v>0</v>
      </c>
      <c r="AF60" s="596">
        <v>0</v>
      </c>
      <c r="AG60" s="582">
        <v>0</v>
      </c>
      <c r="AH60" s="455">
        <f t="shared" si="0"/>
        <v>0.08</v>
      </c>
      <c r="AI60" s="582">
        <v>0</v>
      </c>
      <c r="AJ60" s="595">
        <v>2</v>
      </c>
      <c r="AK60" s="37"/>
    </row>
    <row r="61" spans="1:37" s="11" customFormat="1" x14ac:dyDescent="0.2">
      <c r="A61" s="39"/>
      <c r="B61" s="101"/>
      <c r="C61" s="159"/>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7"/>
    </row>
  </sheetData>
  <sheetProtection formatRows="0" insertRows="0"/>
  <customSheetViews>
    <customSheetView guid="{21F2E024-704F-4E93-AC63-213755ECFFE0}" scale="40" showPageBreaks="1" showGridLines="0" printArea="1" view="pageBreakPreview" topLeftCell="F1">
      <selection activeCell="AD41" sqref="AC41:AD41"/>
      <pageMargins left="0.70866141732283472" right="0.70866141732283472" top="0.74803149606299213" bottom="0.74803149606299213" header="0.31496062992125984" footer="0.31496062992125984"/>
      <pageSetup paperSize="9" scale="39" fitToHeight="10" orientation="landscape"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5">
    <mergeCell ref="A6:U6"/>
    <mergeCell ref="AE2:AJ2"/>
    <mergeCell ref="AE3:AJ3"/>
    <mergeCell ref="AE4:AJ4"/>
    <mergeCell ref="G8:Z8"/>
  </mergeCells>
  <conditionalFormatting sqref="AA9">
    <cfRule type="expression" dxfId="11" priority="17" stopIfTrue="1">
      <formula>IF(AND(ISNUMBER($AE$3),ISNUMBER($E$8)),OR(DATE(YEAR($AE$3),MONTH($AE$3),DAY($AE$3))&lt;$E$8,$AE$3&lt;DATE(2013,1,1)),FALSE)</formula>
    </cfRule>
  </conditionalFormatting>
  <conditionalFormatting sqref="AB9">
    <cfRule type="expression" dxfId="10" priority="16" stopIfTrue="1">
      <formula>IF(AND(ISNUMBER($AE$3),ISNUMBER($E$8)),OR(DATE(YEAR($AE$3),MONTH($AE$3),DAY($AE$3))&lt;$E$8,$AE$3&lt;DATE(2014,1,1)),FALSE)</formula>
    </cfRule>
  </conditionalFormatting>
  <conditionalFormatting sqref="AC9">
    <cfRule type="expression" dxfId="9" priority="15" stopIfTrue="1">
      <formula>IF(AND(ISNUMBER($AE$3),ISNUMBER($E$8)),OR(DATE(YEAR($AE$3),MONTH($AE$3),DAY($AE$3))&lt;$E$8,$AE$3&lt;DATE(2015,1,1)),FALSE)</formula>
    </cfRule>
  </conditionalFormatting>
  <conditionalFormatting sqref="AD9">
    <cfRule type="expression" dxfId="8" priority="14" stopIfTrue="1">
      <formula>IF(AND(ISNUMBER($AE$3),ISNUMBER($E$8)),OR(DATE(YEAR($AE$3),MONTH($AE$3),DAY($AE$3))&lt;$E$8,$AE$3&lt;DATE(2016,1,1)),FALSE)</formula>
    </cfRule>
  </conditionalFormatting>
  <conditionalFormatting sqref="AE9:AF9">
    <cfRule type="expression" dxfId="7" priority="13" stopIfTrue="1">
      <formula>IF(AND(ISNUMBER($AE$3),ISNUMBER($E$8)),OR(DATE(YEAR($AE$3),MONTH($AE$3),DAY($AE$3))&lt;$E$8,$AE$3&lt;DATE(2017,1,1)),FALSE)</formula>
    </cfRule>
  </conditionalFormatting>
  <conditionalFormatting sqref="AA10:AA60">
    <cfRule type="expression" dxfId="6" priority="1" stopIfTrue="1">
      <formula>IF(AND(ISNUMBER($AE$3),ISNUMBER($E$8)),OR(DATE(YEAR($AE$3),MONTH($AE$3),DAY($AE$3))&lt;$E$8,$AE$3&lt;DATE(2013,1,1)),FALSE)</formula>
    </cfRule>
  </conditionalFormatting>
  <conditionalFormatting sqref="AB10:AB60">
    <cfRule type="expression" dxfId="5" priority="5" stopIfTrue="1">
      <formula>IF(AND(ISNUMBER($AE$3),ISNUMBER($E$8)),OR(DATE(YEAR($AE$3),MONTH($AE$3),DAY($AE$3))&lt;$E$8,$AE$3&lt;DATE(2014,1,1)),FALSE)</formula>
    </cfRule>
  </conditionalFormatting>
  <conditionalFormatting sqref="AC10:AC60">
    <cfRule type="expression" dxfId="4" priority="4" stopIfTrue="1">
      <formula>IF(AND(ISNUMBER($AE$3),ISNUMBER($E$8)),OR(DATE(YEAR($AE$3),MONTH($AE$3),DAY($AE$3))&lt;$E$8,$AE$3&lt;DATE(2015,1,1)),FALSE)</formula>
    </cfRule>
  </conditionalFormatting>
  <conditionalFormatting sqref="AD10:AD60">
    <cfRule type="expression" dxfId="3" priority="3" stopIfTrue="1">
      <formula>IF(AND(ISNUMBER($AE$3),ISNUMBER($E$8)),OR(DATE(YEAR($AE$3),MONTH($AE$3),DAY($AE$3))&lt;$E$8,$AE$3&lt;DATE(2016,1,1)),FALSE)</formula>
    </cfRule>
  </conditionalFormatting>
  <conditionalFormatting sqref="AE10:AF60">
    <cfRule type="expression" dxfId="2" priority="2" stopIfTrue="1">
      <formula>IF(AND(ISNUMBER($AE$3),ISNUMBER($E$8)),OR(DATE(YEAR($AE$3),MONTH($AE$3),DAY($AE$3))&lt;$E$8,$AE$3&lt;DATE(2017,1,1)),FALSE)</formula>
    </cfRule>
  </conditionalFormatting>
  <dataValidations count="2">
    <dataValidation allowBlank="1" showInputMessage="1" showErrorMessage="1" prompt="Please enter Network / Sub-Network Name" sqref="AE4:AJ4"/>
    <dataValidation type="list" allowBlank="1" showInputMessage="1" showErrorMessage="1" prompt="Please select from available drop-down options" sqref="AJ10:AJ60">
      <formula1>"1,2,3,4,N/A,[Select one]"</formula1>
    </dataValidation>
  </dataValidations>
  <pageMargins left="0.70866141732283472" right="0.70866141732283472" top="0.74803149606299213" bottom="0.74803149606299213" header="0.31496062992125989" footer="0.31496062992125989"/>
  <pageSetup paperSize="9" scale="36" orientation="landscape" r:id="rId2"/>
  <headerFooter alignWithMargins="0">
    <oddHeader>&amp;CCommerce Commission Information Disclosure Template</oddHeader>
    <oddFooter>&amp;L&amp;F&amp;C&amp;P&amp;R&amp;A</oddFooter>
  </headerFooter>
  <extLst>
    <ext xmlns:x14="http://schemas.microsoft.com/office/spreadsheetml/2009/9/main" uri="{78C0D931-6437-407d-A8EE-F0AAD7539E65}">
      <x14:conditionalFormattings>
        <x14:conditionalFormatting xmlns:xm="http://schemas.microsoft.com/office/excel/2006/main">
          <x14:cfRule type="cellIs" priority="6" operator="notEqual" id="{21FC3F24-D37B-4995-A8B7-D5F8707AF290}">
            <xm:f>'S9a.Asset Register'!I9</xm:f>
            <x14:dxf>
              <fill>
                <patternFill>
                  <bgColor rgb="FFF79646"/>
                </patternFill>
              </fill>
            </x14:dxf>
          </x14:cfRule>
          <xm:sqref>AH10:AH60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9" tint="-0.499984740745262"/>
    <pageSetUpPr fitToPage="1"/>
  </sheetPr>
  <dimension ref="A1:M36"/>
  <sheetViews>
    <sheetView showGridLines="0" zoomScaleNormal="100" zoomScaleSheetLayoutView="100" workbookViewId="0">
      <selection sqref="A1:XFD1048576"/>
    </sheetView>
  </sheetViews>
  <sheetFormatPr defaultColWidth="9.140625" defaultRowHeight="12.75" x14ac:dyDescent="0.2"/>
  <cols>
    <col min="1" max="1" width="4.140625" style="29" customWidth="1"/>
    <col min="2" max="2" width="5.85546875" style="29" customWidth="1"/>
    <col min="3" max="4" width="2.28515625" style="27" customWidth="1"/>
    <col min="5" max="5" width="62.42578125" style="27" customWidth="1"/>
    <col min="6" max="6" width="26.85546875" style="27" customWidth="1"/>
    <col min="7" max="9" width="16.140625" style="29" customWidth="1"/>
    <col min="10" max="10" width="2.7109375" style="29" customWidth="1"/>
    <col min="11" max="11" width="7.42578125" style="214" customWidth="1"/>
    <col min="12" max="12" width="9.140625" style="29"/>
    <col min="13" max="13" width="25.28515625" style="29" customWidth="1"/>
    <col min="14" max="16384" width="9.140625" style="29"/>
  </cols>
  <sheetData>
    <row r="1" spans="1:13" ht="15" customHeight="1" x14ac:dyDescent="0.2">
      <c r="A1" s="555"/>
      <c r="B1" s="551"/>
      <c r="C1" s="551"/>
      <c r="D1" s="551"/>
      <c r="E1" s="551"/>
      <c r="F1" s="551"/>
      <c r="G1" s="551"/>
      <c r="H1" s="551"/>
      <c r="I1" s="551"/>
      <c r="J1" s="550"/>
    </row>
    <row r="2" spans="1:13" ht="18" customHeight="1" x14ac:dyDescent="0.3">
      <c r="A2" s="76"/>
      <c r="B2" s="449"/>
      <c r="C2" s="449"/>
      <c r="D2" s="449"/>
      <c r="E2" s="449"/>
      <c r="F2" s="94" t="s">
        <v>8</v>
      </c>
      <c r="G2" s="611" t="str">
        <f>IF(NOT(ISBLANK(CoverSheet!$C$8)),CoverSheet!$C$8,"")</f>
        <v>Alpine Energy Limited</v>
      </c>
      <c r="H2" s="611"/>
      <c r="I2" s="611"/>
      <c r="J2" s="50"/>
    </row>
    <row r="3" spans="1:13" ht="18" customHeight="1" x14ac:dyDescent="0.25">
      <c r="A3" s="76"/>
      <c r="B3" s="449"/>
      <c r="C3" s="449"/>
      <c r="D3" s="449"/>
      <c r="E3" s="449"/>
      <c r="F3" s="94" t="s">
        <v>393</v>
      </c>
      <c r="G3" s="619">
        <f>IF(ISNUMBER(CoverSheet!$C$12),CoverSheet!$C$12,"")</f>
        <v>43190</v>
      </c>
      <c r="H3" s="620"/>
      <c r="I3" s="621"/>
      <c r="J3" s="50"/>
    </row>
    <row r="4" spans="1:13" s="121" customFormat="1" ht="18" customHeight="1" x14ac:dyDescent="0.3">
      <c r="A4" s="76"/>
      <c r="B4" s="449"/>
      <c r="C4" s="449"/>
      <c r="D4" s="449"/>
      <c r="E4" s="449"/>
      <c r="F4" s="94" t="s">
        <v>94</v>
      </c>
      <c r="G4" s="669"/>
      <c r="H4" s="669"/>
      <c r="I4" s="669"/>
      <c r="J4" s="50"/>
      <c r="K4" s="214"/>
    </row>
    <row r="5" spans="1:13" ht="21" x14ac:dyDescent="0.35">
      <c r="A5" s="545" t="s">
        <v>486</v>
      </c>
      <c r="B5" s="449"/>
      <c r="C5" s="449"/>
      <c r="D5" s="449"/>
      <c r="E5" s="449"/>
      <c r="F5" s="449"/>
      <c r="G5" s="449"/>
      <c r="H5" s="673"/>
      <c r="I5" s="673"/>
      <c r="J5" s="50"/>
    </row>
    <row r="6" spans="1:13" s="32" customFormat="1" ht="29.25" customHeight="1" x14ac:dyDescent="0.2">
      <c r="A6" s="637" t="s">
        <v>437</v>
      </c>
      <c r="B6" s="638"/>
      <c r="C6" s="638"/>
      <c r="D6" s="638"/>
      <c r="E6" s="638"/>
      <c r="F6" s="638"/>
      <c r="G6" s="638"/>
      <c r="H6" s="638"/>
      <c r="I6" s="638"/>
      <c r="J6" s="681"/>
      <c r="K6" s="214"/>
      <c r="M6"/>
    </row>
    <row r="7" spans="1:13" s="33" customFormat="1" ht="15" customHeight="1" x14ac:dyDescent="0.2">
      <c r="A7" s="138"/>
      <c r="B7" s="83"/>
      <c r="C7" s="83"/>
      <c r="D7" s="83"/>
      <c r="E7" s="83"/>
      <c r="F7" s="83"/>
      <c r="G7" s="83"/>
      <c r="H7" s="83"/>
      <c r="I7" s="83"/>
      <c r="J7" s="50"/>
      <c r="K7" s="214"/>
      <c r="M7"/>
    </row>
    <row r="8" spans="1:13" ht="15" customHeight="1" x14ac:dyDescent="0.2">
      <c r="A8" s="87" t="s">
        <v>623</v>
      </c>
      <c r="B8" s="452"/>
      <c r="C8" s="449"/>
      <c r="D8" s="449"/>
      <c r="E8" s="449"/>
      <c r="F8" s="449"/>
      <c r="G8" s="449"/>
      <c r="H8" s="449"/>
      <c r="I8" s="449"/>
      <c r="J8" s="50"/>
      <c r="M8"/>
    </row>
    <row r="9" spans="1:13" ht="30" customHeight="1" x14ac:dyDescent="0.2">
      <c r="A9" s="116">
        <v>9</v>
      </c>
      <c r="B9" s="36"/>
      <c r="C9" s="441"/>
      <c r="D9" s="441"/>
      <c r="E9" s="441"/>
      <c r="F9" s="441"/>
      <c r="G9" s="441"/>
      <c r="H9" s="441"/>
      <c r="I9" s="441"/>
      <c r="J9" s="34"/>
      <c r="L9" s="100"/>
      <c r="M9"/>
    </row>
    <row r="10" spans="1:13" ht="25.5" x14ac:dyDescent="0.2">
      <c r="A10" s="116">
        <v>10</v>
      </c>
      <c r="B10" s="441"/>
      <c r="C10" s="144"/>
      <c r="D10" s="117" t="s">
        <v>395</v>
      </c>
      <c r="E10" s="144"/>
      <c r="F10" s="144"/>
      <c r="G10" s="146" t="s">
        <v>83</v>
      </c>
      <c r="H10" s="146" t="s">
        <v>84</v>
      </c>
      <c r="I10" s="146" t="s">
        <v>471</v>
      </c>
      <c r="J10" s="34"/>
      <c r="M10"/>
    </row>
    <row r="11" spans="1:13" ht="15" customHeight="1" x14ac:dyDescent="0.2">
      <c r="A11" s="116">
        <v>11</v>
      </c>
      <c r="B11" s="441"/>
      <c r="C11" s="144"/>
      <c r="D11" s="117"/>
      <c r="E11" s="144" t="s">
        <v>76</v>
      </c>
      <c r="F11" s="144"/>
      <c r="G11" s="581" t="s">
        <v>1011</v>
      </c>
      <c r="H11" s="581" t="s">
        <v>1011</v>
      </c>
      <c r="I11" s="334">
        <f t="shared" ref="I11:I17" si="0">SUM(G11:H11)</f>
        <v>0</v>
      </c>
      <c r="J11" s="34"/>
      <c r="M11"/>
    </row>
    <row r="12" spans="1:13" ht="15" customHeight="1" x14ac:dyDescent="0.2">
      <c r="A12" s="116">
        <v>12</v>
      </c>
      <c r="B12" s="441"/>
      <c r="C12" s="144"/>
      <c r="D12" s="117"/>
      <c r="E12" s="144" t="s">
        <v>77</v>
      </c>
      <c r="F12" s="144"/>
      <c r="G12" s="581" t="s">
        <v>1011</v>
      </c>
      <c r="H12" s="581" t="s">
        <v>1011</v>
      </c>
      <c r="I12" s="334">
        <f t="shared" si="0"/>
        <v>0</v>
      </c>
      <c r="J12" s="34"/>
      <c r="M12"/>
    </row>
    <row r="13" spans="1:13" ht="15" customHeight="1" x14ac:dyDescent="0.2">
      <c r="A13" s="116">
        <v>13</v>
      </c>
      <c r="B13" s="441"/>
      <c r="C13" s="144"/>
      <c r="D13" s="117"/>
      <c r="E13" s="144" t="s">
        <v>78</v>
      </c>
      <c r="F13" s="144"/>
      <c r="G13" s="581">
        <v>251</v>
      </c>
      <c r="H13" s="581">
        <v>30</v>
      </c>
      <c r="I13" s="334">
        <f t="shared" si="0"/>
        <v>281</v>
      </c>
      <c r="J13" s="34"/>
    </row>
    <row r="14" spans="1:13" ht="15" customHeight="1" x14ac:dyDescent="0.2">
      <c r="A14" s="116">
        <v>14</v>
      </c>
      <c r="B14" s="441"/>
      <c r="C14" s="144"/>
      <c r="D14" s="117"/>
      <c r="E14" s="144" t="s">
        <v>79</v>
      </c>
      <c r="F14" s="144"/>
      <c r="G14" s="581" t="s">
        <v>1011</v>
      </c>
      <c r="H14" s="581">
        <v>7</v>
      </c>
      <c r="I14" s="334">
        <f t="shared" si="0"/>
        <v>7</v>
      </c>
      <c r="J14" s="34"/>
    </row>
    <row r="15" spans="1:13" ht="15" customHeight="1" x14ac:dyDescent="0.2">
      <c r="A15" s="116">
        <v>15</v>
      </c>
      <c r="B15" s="441"/>
      <c r="C15" s="144"/>
      <c r="D15" s="117"/>
      <c r="E15" s="144" t="s">
        <v>80</v>
      </c>
      <c r="F15" s="144"/>
      <c r="G15" s="581">
        <v>145</v>
      </c>
      <c r="H15" s="581">
        <v>5</v>
      </c>
      <c r="I15" s="334">
        <f t="shared" si="0"/>
        <v>150</v>
      </c>
      <c r="J15" s="34"/>
    </row>
    <row r="16" spans="1:13" ht="15" customHeight="1" x14ac:dyDescent="0.2">
      <c r="A16" s="116">
        <v>16</v>
      </c>
      <c r="B16" s="441"/>
      <c r="C16" s="144"/>
      <c r="D16" s="117"/>
      <c r="E16" s="144" t="s">
        <v>101</v>
      </c>
      <c r="F16" s="144"/>
      <c r="G16" s="581">
        <v>2763</v>
      </c>
      <c r="H16" s="581">
        <v>382</v>
      </c>
      <c r="I16" s="334">
        <f t="shared" si="0"/>
        <v>3145</v>
      </c>
      <c r="J16" s="34"/>
    </row>
    <row r="17" spans="1:13" ht="15" customHeight="1" thickBot="1" x14ac:dyDescent="0.25">
      <c r="A17" s="116">
        <v>17</v>
      </c>
      <c r="B17" s="441"/>
      <c r="C17" s="144"/>
      <c r="D17" s="117"/>
      <c r="E17" s="144" t="s">
        <v>100</v>
      </c>
      <c r="F17" s="144"/>
      <c r="G17" s="581">
        <v>362</v>
      </c>
      <c r="H17" s="581">
        <v>343</v>
      </c>
      <c r="I17" s="334">
        <f t="shared" si="0"/>
        <v>705</v>
      </c>
      <c r="J17" s="34"/>
    </row>
    <row r="18" spans="1:13" ht="15" customHeight="1" thickBot="1" x14ac:dyDescent="0.25">
      <c r="A18" s="116">
        <v>18</v>
      </c>
      <c r="B18" s="441"/>
      <c r="C18" s="144"/>
      <c r="D18" s="117" t="s">
        <v>96</v>
      </c>
      <c r="E18" s="144"/>
      <c r="F18" s="144"/>
      <c r="G18" s="466">
        <f>SUM(G11:G17)</f>
        <v>3521</v>
      </c>
      <c r="H18" s="466">
        <f>SUM(H11:H17)</f>
        <v>767</v>
      </c>
      <c r="I18" s="466">
        <f>SUM(I11:I17)</f>
        <v>4288</v>
      </c>
      <c r="J18" s="34"/>
      <c r="K18" s="214" t="s">
        <v>621</v>
      </c>
    </row>
    <row r="19" spans="1:13" x14ac:dyDescent="0.2">
      <c r="A19" s="116">
        <v>19</v>
      </c>
      <c r="B19" s="441"/>
      <c r="C19" s="144"/>
      <c r="D19" s="117"/>
      <c r="E19" s="144"/>
      <c r="F19" s="144"/>
      <c r="G19" s="441"/>
      <c r="H19" s="441"/>
      <c r="I19" s="441"/>
      <c r="J19" s="34"/>
    </row>
    <row r="20" spans="1:13" ht="15" customHeight="1" x14ac:dyDescent="0.2">
      <c r="A20" s="116">
        <v>20</v>
      </c>
      <c r="B20" s="441"/>
      <c r="C20" s="144"/>
      <c r="D20" s="117"/>
      <c r="E20" s="144" t="s">
        <v>396</v>
      </c>
      <c r="F20" s="144"/>
      <c r="G20" s="3">
        <v>0</v>
      </c>
      <c r="H20" s="3">
        <v>0</v>
      </c>
      <c r="I20" s="334">
        <f>G20+H20</f>
        <v>0</v>
      </c>
      <c r="J20" s="34"/>
    </row>
    <row r="21" spans="1:13" ht="15" customHeight="1" x14ac:dyDescent="0.2">
      <c r="A21" s="116">
        <v>21</v>
      </c>
      <c r="B21" s="441"/>
      <c r="C21" s="144"/>
      <c r="D21" s="117"/>
      <c r="E21" s="144" t="s">
        <v>112</v>
      </c>
      <c r="F21" s="144"/>
      <c r="G21" s="441"/>
      <c r="H21" s="441"/>
      <c r="I21" s="3">
        <v>36</v>
      </c>
      <c r="J21" s="34"/>
    </row>
    <row r="22" spans="1:13" x14ac:dyDescent="0.2">
      <c r="A22" s="116">
        <v>22</v>
      </c>
      <c r="B22" s="441"/>
      <c r="C22" s="144"/>
      <c r="D22" s="117"/>
      <c r="E22" s="144"/>
      <c r="F22" s="144"/>
      <c r="G22" s="441"/>
      <c r="H22" s="441"/>
      <c r="I22" s="441"/>
      <c r="J22" s="34"/>
    </row>
    <row r="23" spans="1:13" ht="25.5" customHeight="1" x14ac:dyDescent="0.2">
      <c r="A23" s="116">
        <v>23</v>
      </c>
      <c r="B23" s="441"/>
      <c r="C23" s="144"/>
      <c r="D23" s="117" t="s">
        <v>111</v>
      </c>
      <c r="E23" s="144"/>
      <c r="F23" s="144"/>
      <c r="G23" s="440" t="s">
        <v>414</v>
      </c>
      <c r="H23" s="440" t="s">
        <v>397</v>
      </c>
      <c r="I23" s="441"/>
      <c r="J23" s="34"/>
    </row>
    <row r="24" spans="1:13" ht="15" customHeight="1" x14ac:dyDescent="0.2">
      <c r="A24" s="116">
        <v>24</v>
      </c>
      <c r="B24" s="441"/>
      <c r="C24" s="144"/>
      <c r="D24" s="117"/>
      <c r="E24" s="144" t="s">
        <v>89</v>
      </c>
      <c r="F24" s="144"/>
      <c r="G24" s="581">
        <v>311</v>
      </c>
      <c r="H24" s="364">
        <f t="shared" ref="H24:H29" si="1">IF(G$30&lt;&gt;0,G24/G$30,0)</f>
        <v>8.8327179778472029E-2</v>
      </c>
      <c r="I24" s="441"/>
      <c r="J24" s="34"/>
    </row>
    <row r="25" spans="1:13" ht="15" customHeight="1" x14ac:dyDescent="0.2">
      <c r="A25" s="116">
        <v>25</v>
      </c>
      <c r="B25" s="441"/>
      <c r="C25" s="144"/>
      <c r="D25" s="117"/>
      <c r="E25" s="144" t="s">
        <v>90</v>
      </c>
      <c r="F25" s="144"/>
      <c r="G25" s="581">
        <v>3114</v>
      </c>
      <c r="H25" s="364">
        <f t="shared" si="1"/>
        <v>0.88440783868219253</v>
      </c>
      <c r="I25" s="441"/>
      <c r="J25" s="34"/>
    </row>
    <row r="26" spans="1:13" ht="15" customHeight="1" x14ac:dyDescent="0.2">
      <c r="A26" s="116">
        <v>26</v>
      </c>
      <c r="B26" s="441"/>
      <c r="C26" s="144"/>
      <c r="D26" s="117"/>
      <c r="E26" s="144" t="s">
        <v>399</v>
      </c>
      <c r="F26" s="144"/>
      <c r="G26" s="581">
        <v>0</v>
      </c>
      <c r="H26" s="364">
        <f t="shared" si="1"/>
        <v>0</v>
      </c>
      <c r="I26" s="441"/>
      <c r="J26" s="34"/>
    </row>
    <row r="27" spans="1:13" ht="15" customHeight="1" x14ac:dyDescent="0.2">
      <c r="A27" s="116">
        <v>27</v>
      </c>
      <c r="B27" s="441"/>
      <c r="C27" s="144"/>
      <c r="D27" s="117"/>
      <c r="E27" s="144" t="s">
        <v>400</v>
      </c>
      <c r="F27" s="144"/>
      <c r="G27" s="581">
        <v>96</v>
      </c>
      <c r="H27" s="364">
        <f t="shared" si="1"/>
        <v>2.7264981539335417E-2</v>
      </c>
      <c r="I27" s="441"/>
      <c r="J27" s="34"/>
    </row>
    <row r="28" spans="1:13" s="123" customFormat="1" ht="15" customHeight="1" x14ac:dyDescent="0.2">
      <c r="A28" s="116">
        <v>28</v>
      </c>
      <c r="B28" s="441"/>
      <c r="C28" s="144"/>
      <c r="D28" s="117"/>
      <c r="E28" s="144" t="s">
        <v>401</v>
      </c>
      <c r="F28" s="144"/>
      <c r="G28" s="581">
        <v>0</v>
      </c>
      <c r="H28" s="364">
        <f t="shared" si="1"/>
        <v>0</v>
      </c>
      <c r="I28" s="441"/>
      <c r="J28" s="34"/>
      <c r="K28" s="214"/>
    </row>
    <row r="29" spans="1:13" ht="15" customHeight="1" thickBot="1" x14ac:dyDescent="0.25">
      <c r="A29" s="116">
        <v>29</v>
      </c>
      <c r="B29" s="441"/>
      <c r="C29" s="144"/>
      <c r="D29" s="117"/>
      <c r="E29" s="144" t="s">
        <v>63</v>
      </c>
      <c r="F29" s="144"/>
      <c r="G29" s="581">
        <v>0</v>
      </c>
      <c r="H29" s="364">
        <f t="shared" si="1"/>
        <v>0</v>
      </c>
      <c r="I29" s="441"/>
      <c r="J29" s="34"/>
      <c r="L29" s="354" t="s">
        <v>668</v>
      </c>
      <c r="M29" s="106"/>
    </row>
    <row r="30" spans="1:13" ht="15" customHeight="1" thickBot="1" x14ac:dyDescent="0.25">
      <c r="A30" s="116">
        <v>30</v>
      </c>
      <c r="B30" s="441"/>
      <c r="C30" s="144"/>
      <c r="D30" s="117" t="s">
        <v>81</v>
      </c>
      <c r="E30" s="144"/>
      <c r="F30" s="144"/>
      <c r="G30" s="466">
        <f>SUM(G24:G29)</f>
        <v>3521</v>
      </c>
      <c r="H30" s="473">
        <f>SUM(H24:H29)</f>
        <v>1</v>
      </c>
      <c r="I30" s="441"/>
      <c r="J30" s="34"/>
      <c r="L30" s="355" t="s">
        <v>667</v>
      </c>
      <c r="M30" s="355" t="s">
        <v>893</v>
      </c>
    </row>
    <row r="31" spans="1:13" ht="13.5" thickBot="1" x14ac:dyDescent="0.25">
      <c r="A31" s="116">
        <v>31</v>
      </c>
      <c r="B31" s="441"/>
      <c r="C31" s="144"/>
      <c r="D31" s="144"/>
      <c r="E31" s="144"/>
      <c r="F31" s="144"/>
      <c r="G31" s="143"/>
      <c r="H31" s="143"/>
      <c r="I31" s="441"/>
      <c r="J31" s="34"/>
      <c r="L31" s="107">
        <f>G18</f>
        <v>3521</v>
      </c>
      <c r="M31" s="108" t="b">
        <f>(ROUND(L31,0)=ROUND(G30,0))</f>
        <v>1</v>
      </c>
    </row>
    <row r="32" spans="1:13" ht="25.5" x14ac:dyDescent="0.2">
      <c r="A32" s="116">
        <v>32</v>
      </c>
      <c r="B32" s="441"/>
      <c r="C32" s="144"/>
      <c r="D32" s="144"/>
      <c r="E32" s="144"/>
      <c r="F32" s="144"/>
      <c r="G32" s="440" t="s">
        <v>414</v>
      </c>
      <c r="H32" s="440" t="s">
        <v>398</v>
      </c>
      <c r="I32" s="441"/>
      <c r="J32" s="34"/>
      <c r="L32" s="105"/>
      <c r="M32" s="105"/>
    </row>
    <row r="33" spans="1:13" ht="15" customHeight="1" x14ac:dyDescent="0.2">
      <c r="A33" s="116">
        <v>33</v>
      </c>
      <c r="B33" s="441"/>
      <c r="C33" s="144"/>
      <c r="D33" s="144"/>
      <c r="E33" s="144" t="s">
        <v>434</v>
      </c>
      <c r="F33" s="144"/>
      <c r="G33" s="3">
        <v>1733</v>
      </c>
      <c r="H33" s="568">
        <f>IF(I$18&lt;&gt;0,G33/I$18,0)</f>
        <v>0.40415111940298509</v>
      </c>
      <c r="I33" s="441"/>
      <c r="J33" s="34"/>
      <c r="L33" s="356"/>
      <c r="M33" s="105"/>
    </row>
    <row r="34" spans="1:13" s="123" customFormat="1" ht="31.5" customHeight="1" x14ac:dyDescent="0.2">
      <c r="A34" s="116">
        <v>34</v>
      </c>
      <c r="B34" s="441"/>
      <c r="C34" s="144"/>
      <c r="D34" s="144"/>
      <c r="E34" s="144"/>
      <c r="F34" s="144"/>
      <c r="G34" s="146" t="s">
        <v>414</v>
      </c>
      <c r="H34" s="146" t="s">
        <v>397</v>
      </c>
      <c r="I34" s="441"/>
      <c r="J34" s="34"/>
      <c r="K34" s="214"/>
      <c r="L34" s="356"/>
    </row>
    <row r="35" spans="1:13" ht="15" customHeight="1" x14ac:dyDescent="0.2">
      <c r="A35" s="116">
        <v>35</v>
      </c>
      <c r="B35" s="441"/>
      <c r="C35" s="144"/>
      <c r="D35" s="144"/>
      <c r="E35" s="144" t="s">
        <v>92</v>
      </c>
      <c r="F35" s="144"/>
      <c r="G35" s="3">
        <v>370</v>
      </c>
      <c r="H35" s="462">
        <f>IF(G$30&lt;&gt;0,G35/G$30,0)</f>
        <v>0.10508378301618858</v>
      </c>
      <c r="I35" s="441"/>
      <c r="J35" s="34"/>
    </row>
    <row r="36" spans="1:13" ht="15" customHeight="1" x14ac:dyDescent="0.2">
      <c r="A36" s="39"/>
      <c r="B36" s="41"/>
      <c r="C36" s="41"/>
      <c r="D36" s="41"/>
      <c r="E36" s="41"/>
      <c r="F36" s="41"/>
      <c r="G36" s="41"/>
      <c r="H36" s="41"/>
      <c r="I36" s="41"/>
      <c r="J36" s="47"/>
    </row>
  </sheetData>
  <sheetProtection sheet="1" objects="1" formatRows="0" insertRows="0"/>
  <customSheetViews>
    <customSheetView guid="{21F2E024-704F-4E93-AC63-213755ECFFE0}" showPageBreaks="1" showGridLines="0" view="pageBreakPreview">
      <pane ySplit="7" topLeftCell="A23" activePane="bottomLeft" state="frozen"/>
      <selection pane="bottomLeft"/>
      <pageMargins left="0.70866141732283472" right="0.70866141732283472" top="0.74803149606299213" bottom="0.74803149606299213" header="0.31496062992125984" footer="0.31496062992125984"/>
      <pageSetup paperSize="9" scale="85" fitToHeight="10" orientation="landscape"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5">
    <mergeCell ref="H5:I5"/>
    <mergeCell ref="A6:J6"/>
    <mergeCell ref="G2:I2"/>
    <mergeCell ref="G3:I3"/>
    <mergeCell ref="G4:I4"/>
  </mergeCells>
  <conditionalFormatting sqref="G30">
    <cfRule type="expression" dxfId="0" priority="2" stopIfTrue="1">
      <formula>$M$31&lt;&gt;TRUE</formula>
    </cfRule>
  </conditionalFormatting>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G33">
      <formula1>OR(AND(ISNUMBER(G33),G33&gt;=0),AND(ISTEXT(G33),G33="N/A"))</formula1>
    </dataValidation>
    <dataValidation allowBlank="1" showInputMessage="1" showErrorMessage="1" prompt="Please enter Network / Sub-Network Name" sqref="G4:I4"/>
  </dataValidations>
  <pageMargins left="0.70866141732283472" right="0.70866141732283472" top="0.74803149606299213" bottom="0.74803149606299213" header="0.31496062992125989" footer="0.31496062992125989"/>
  <pageSetup paperSize="9" scale="62" orientation="portrait" r:id="rId2"/>
  <headerFooter alignWithMargins="0">
    <oddHeader>&amp;CCommerce Commission Information Disclosure Template</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0"/>
    <pageSetUpPr fitToPage="1"/>
  </sheetPr>
  <dimension ref="A1:D27"/>
  <sheetViews>
    <sheetView showGridLines="0" zoomScaleNormal="100" zoomScaleSheetLayoutView="100" workbookViewId="0"/>
  </sheetViews>
  <sheetFormatPr defaultColWidth="9.140625" defaultRowHeight="12.75" x14ac:dyDescent="0.2"/>
  <cols>
    <col min="1" max="1" width="9.140625" style="216"/>
    <col min="2" max="2" width="9" style="216" customWidth="1"/>
    <col min="3" max="3" width="105.85546875" style="216" customWidth="1"/>
    <col min="4" max="4" width="2.7109375" style="216" customWidth="1"/>
    <col min="5" max="16384" width="9.140625" style="216"/>
  </cols>
  <sheetData>
    <row r="1" spans="1:4" ht="28.5" customHeight="1" x14ac:dyDescent="0.2">
      <c r="A1" s="507"/>
      <c r="B1" s="508"/>
      <c r="C1" s="509"/>
      <c r="D1" s="510"/>
    </row>
    <row r="2" spans="1:4" ht="15.75" x14ac:dyDescent="0.25">
      <c r="A2" s="489"/>
      <c r="B2" s="511" t="s">
        <v>4</v>
      </c>
      <c r="C2" s="490"/>
      <c r="D2" s="491"/>
    </row>
    <row r="3" spans="1:4" x14ac:dyDescent="0.2">
      <c r="A3" s="489"/>
      <c r="B3" s="490"/>
      <c r="C3" s="490"/>
      <c r="D3" s="491"/>
    </row>
    <row r="4" spans="1:4" x14ac:dyDescent="0.2">
      <c r="A4" s="512"/>
      <c r="B4" s="498"/>
      <c r="C4" s="498"/>
      <c r="D4" s="491"/>
    </row>
    <row r="5" spans="1:4" x14ac:dyDescent="0.2">
      <c r="A5" s="489"/>
      <c r="B5" s="513" t="s">
        <v>833</v>
      </c>
      <c r="C5" s="513" t="s">
        <v>795</v>
      </c>
      <c r="D5" s="491"/>
    </row>
    <row r="6" spans="1:4" x14ac:dyDescent="0.2">
      <c r="A6" s="512"/>
      <c r="B6" s="514" t="s">
        <v>827</v>
      </c>
      <c r="C6" s="515" t="s">
        <v>796</v>
      </c>
      <c r="D6" s="491"/>
    </row>
    <row r="7" spans="1:4" x14ac:dyDescent="0.2">
      <c r="A7" s="516"/>
      <c r="B7" s="514" t="s">
        <v>852</v>
      </c>
      <c r="C7" s="515" t="s">
        <v>797</v>
      </c>
      <c r="D7" s="517"/>
    </row>
    <row r="8" spans="1:4" x14ac:dyDescent="0.2">
      <c r="A8" s="489"/>
      <c r="B8" s="514" t="s">
        <v>828</v>
      </c>
      <c r="C8" s="518" t="s">
        <v>798</v>
      </c>
      <c r="D8" s="491"/>
    </row>
    <row r="9" spans="1:4" x14ac:dyDescent="0.2">
      <c r="A9" s="516"/>
      <c r="B9" s="514" t="s">
        <v>829</v>
      </c>
      <c r="C9" s="518" t="s">
        <v>799</v>
      </c>
      <c r="D9" s="517"/>
    </row>
    <row r="10" spans="1:4" x14ac:dyDescent="0.2">
      <c r="A10" s="516"/>
      <c r="B10" s="514" t="s">
        <v>801</v>
      </c>
      <c r="C10" s="518" t="s">
        <v>800</v>
      </c>
      <c r="D10" s="517"/>
    </row>
    <row r="11" spans="1:4" x14ac:dyDescent="0.2">
      <c r="A11" s="512"/>
      <c r="B11" s="514" t="s">
        <v>803</v>
      </c>
      <c r="C11" s="518" t="s">
        <v>802</v>
      </c>
      <c r="D11" s="491"/>
    </row>
    <row r="12" spans="1:4" x14ac:dyDescent="0.2">
      <c r="A12" s="516"/>
      <c r="B12" s="514" t="s">
        <v>805</v>
      </c>
      <c r="C12" s="518" t="s">
        <v>804</v>
      </c>
      <c r="D12" s="517"/>
    </row>
    <row r="13" spans="1:4" x14ac:dyDescent="0.2">
      <c r="A13" s="512"/>
      <c r="B13" s="514" t="s">
        <v>807</v>
      </c>
      <c r="C13" s="518" t="s">
        <v>806</v>
      </c>
      <c r="D13" s="491"/>
    </row>
    <row r="14" spans="1:4" x14ac:dyDescent="0.2">
      <c r="A14" s="516"/>
      <c r="B14" s="514" t="s">
        <v>809</v>
      </c>
      <c r="C14" s="518" t="s">
        <v>808</v>
      </c>
      <c r="D14" s="517"/>
    </row>
    <row r="15" spans="1:4" x14ac:dyDescent="0.2">
      <c r="A15" s="516"/>
      <c r="B15" s="514" t="s">
        <v>811</v>
      </c>
      <c r="C15" s="518" t="s">
        <v>810</v>
      </c>
      <c r="D15" s="517"/>
    </row>
    <row r="16" spans="1:4" x14ac:dyDescent="0.2">
      <c r="A16" s="512"/>
      <c r="B16" s="514" t="s">
        <v>813</v>
      </c>
      <c r="C16" s="518" t="s">
        <v>812</v>
      </c>
      <c r="D16" s="491"/>
    </row>
    <row r="17" spans="1:4" x14ac:dyDescent="0.2">
      <c r="A17" s="516"/>
      <c r="B17" s="514" t="s">
        <v>830</v>
      </c>
      <c r="C17" s="518" t="s">
        <v>814</v>
      </c>
      <c r="D17" s="517"/>
    </row>
    <row r="18" spans="1:4" x14ac:dyDescent="0.2">
      <c r="A18" s="516"/>
      <c r="B18" s="514" t="s">
        <v>831</v>
      </c>
      <c r="C18" s="518" t="s">
        <v>815</v>
      </c>
      <c r="D18" s="517"/>
    </row>
    <row r="19" spans="1:4" x14ac:dyDescent="0.2">
      <c r="A19" s="516"/>
      <c r="B19" s="514" t="s">
        <v>817</v>
      </c>
      <c r="C19" s="518" t="s">
        <v>816</v>
      </c>
      <c r="D19" s="517"/>
    </row>
    <row r="20" spans="1:4" x14ac:dyDescent="0.2">
      <c r="A20" s="516"/>
      <c r="B20" s="514" t="s">
        <v>819</v>
      </c>
      <c r="C20" s="518" t="s">
        <v>818</v>
      </c>
      <c r="D20" s="517"/>
    </row>
    <row r="21" spans="1:4" x14ac:dyDescent="0.2">
      <c r="A21" s="516"/>
      <c r="B21" s="514" t="s">
        <v>821</v>
      </c>
      <c r="C21" s="518" t="s">
        <v>820</v>
      </c>
      <c r="D21" s="517"/>
    </row>
    <row r="22" spans="1:4" x14ac:dyDescent="0.2">
      <c r="A22" s="516"/>
      <c r="B22" s="514" t="s">
        <v>823</v>
      </c>
      <c r="C22" s="518" t="s">
        <v>822</v>
      </c>
      <c r="D22" s="517"/>
    </row>
    <row r="23" spans="1:4" x14ac:dyDescent="0.2">
      <c r="A23" s="516"/>
      <c r="B23" s="514" t="s">
        <v>825</v>
      </c>
      <c r="C23" s="518" t="s">
        <v>824</v>
      </c>
      <c r="D23" s="517"/>
    </row>
    <row r="24" spans="1:4" x14ac:dyDescent="0.2">
      <c r="A24" s="516"/>
      <c r="B24" s="514" t="s">
        <v>832</v>
      </c>
      <c r="C24" s="515" t="s">
        <v>826</v>
      </c>
      <c r="D24" s="517"/>
    </row>
    <row r="25" spans="1:4" x14ac:dyDescent="0.2">
      <c r="A25" s="516"/>
      <c r="B25" s="498"/>
      <c r="C25" s="498"/>
      <c r="D25" s="517"/>
    </row>
    <row r="26" spans="1:4" x14ac:dyDescent="0.2">
      <c r="A26" s="516"/>
      <c r="B26" s="498"/>
      <c r="C26" s="498"/>
      <c r="D26" s="517"/>
    </row>
    <row r="27" spans="1:4" x14ac:dyDescent="0.2">
      <c r="A27" s="519"/>
      <c r="B27" s="520"/>
      <c r="C27" s="520"/>
      <c r="D27" s="521"/>
    </row>
  </sheetData>
  <sheetProtection sheet="1" objects="1" formatRows="0" insertRows="0"/>
  <hyperlinks>
    <hyperlink ref="C6" location="'S1.Analytical Ratios'!$A$4" tooltip="Section title. Click once to follow" display="ANALYTICAL RATIOS"/>
    <hyperlink ref="C7" location="'S2.Return on Investment'!$A$4" tooltip="Section title. Click once to follow" display="REPORT ON RETURN ON INVESTMENT"/>
    <hyperlink ref="C8" location="'S3.Regulatory Profit'!$A$4" tooltip="Section title. Click once to follow" display="REPORT ON REGULATORY PROFIT"/>
    <hyperlink ref="C9" location="'S4.RAB Value (Rolled Forward)'!$A$4" tooltip="Section title. Click once to follow" display="REPORT ON VALUE OF THE REGULATORY ASSET BASE (ROLLED FORWARD)"/>
    <hyperlink ref="C10" location="'S5a.Regulatory Tax Allowance'!$A$4" tooltip="Section title. Click once to follow" display="REPORT ON REGULATORY TAX ALLOWANCE"/>
    <hyperlink ref="C11" location="'S5b.Related Party Transactions'!$A$4" tooltip="Section title. Click once to follow" display="REPORT ON RELATED PARTY TRANSACTIONS"/>
    <hyperlink ref="C12" location="'S5c.TCSD Allowance '!$A$4" tooltip="Section title. Click once to follow" display="REPORT ON TERM CREDIT SPREAD DIFFERENTIAL ALLOWANCE"/>
    <hyperlink ref="C13" location="'S5d.Cost Allocations'!$A$4" tooltip="Section title. Click once to follow" display="REPORT ON COST ALLOCATIONS"/>
    <hyperlink ref="C14" location="'S5e.Asset Allocations'!$A$4" tooltip="Section title. Click once to follow" display="REPORT ON ASSET ALLOCATIONS"/>
    <hyperlink ref="C15" location="'S6a.Actual Expenditure Capex'!$A$4" tooltip="Section title. Click once to follow" display="REPORT ON CAPITAL EXPENDITURE FOR THE DISCLOSURE YEAR"/>
    <hyperlink ref="C16" location="'S6b.Actual Expenditure Opex'!$A$4" tooltip="Section title. Click once to follow" display="REPORT ON OPERATIONAL EXPENDITURE FOR THE DISCLOSURE YEAR"/>
    <hyperlink ref="C17" location="'S7.Actual vs Forecast'!$A$4" tooltip="Section title. Click once to follow" display="COMPARISON OF FORECASTS TO ACTUAL EXPENDITURE"/>
    <hyperlink ref="C18" location="'S8.Billed Quantities+Revenues'!$A$5" tooltip="Section title. Click once to follow" display="REPORT ON BILLED QUANTITIES AND LINE CHARGE REVENUES"/>
    <hyperlink ref="C19" location="'S9a.Asset Register'!$A$5" tooltip="Section title. Click once to follow" display="ASSET REGISTER"/>
    <hyperlink ref="C20" location="'S9b.Asset Age Profile'!$A$5" tooltip="Section title. Click once to follow" display="ASSET AGE PROFILE"/>
    <hyperlink ref="C21" location="'S9c.Overhead Lines'!$A$5" tooltip="Section title. Click once to follow" display="REPORT ON OVERHEAD LINES AND UNDERGROUND CABLES"/>
    <hyperlink ref="C22" location="'S9d.Embedded Networks'!$A$5" tooltip="Section title. Click once to follow" display="REPORT ON EMBEDDED NETWORKS"/>
    <hyperlink ref="C23" location="'S9e.Demand'!$A$5" tooltip="Section title. Click once to follow" display="REPORT ON NETWORK DEMAND"/>
    <hyperlink ref="C24" location="'S10.Reliability'!$A$5" tooltip="Section title. Click once to follow" display="REPORT ON NETWORK RELIABILITY"/>
  </hyperlinks>
  <pageMargins left="0.70866141732283472" right="0.70866141732283472" top="0.74803149606299213" bottom="0.74803149606299213" header="0.31496062992125989" footer="0.31496062992125989"/>
  <pageSetup paperSize="9" scale="77" orientation="portrait" r:id="rId1"/>
  <headerFooter alignWithMargins="0">
    <oddHeader>&amp;CCommerce Commission Information Disclosure Template</oddHeader>
    <oddFooter>&amp;L&amp;F&amp;C&amp;P&amp;R&amp;A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9" tint="-0.499984740745262"/>
    <pageSetUpPr fitToPage="1"/>
  </sheetPr>
  <dimension ref="A1:N27"/>
  <sheetViews>
    <sheetView showGridLines="0" zoomScaleNormal="100" zoomScaleSheetLayoutView="100" workbookViewId="0">
      <selection activeCell="F8" sqref="F8"/>
    </sheetView>
  </sheetViews>
  <sheetFormatPr defaultColWidth="9.140625" defaultRowHeight="12.75" x14ac:dyDescent="0.2"/>
  <cols>
    <col min="1" max="1" width="4.28515625" style="29" customWidth="1"/>
    <col min="2" max="2" width="5.85546875" style="100" customWidth="1"/>
    <col min="3" max="3" width="6.140625" style="100" customWidth="1"/>
    <col min="4" max="4" width="2.28515625" style="100" customWidth="1"/>
    <col min="5" max="5" width="2.28515625" style="29" customWidth="1"/>
    <col min="6" max="6" width="62.42578125" style="27" customWidth="1"/>
    <col min="7" max="8" width="9.140625" style="27" customWidth="1"/>
    <col min="9" max="9" width="18.42578125" style="100" customWidth="1"/>
    <col min="10" max="11" width="18.7109375" style="29" customWidth="1"/>
    <col min="12" max="12" width="2.7109375" style="29" customWidth="1"/>
    <col min="13" max="16384" width="9.140625" style="29"/>
  </cols>
  <sheetData>
    <row r="1" spans="1:14" ht="15" customHeight="1" x14ac:dyDescent="0.2">
      <c r="A1" s="555"/>
      <c r="B1" s="551"/>
      <c r="C1" s="551"/>
      <c r="D1" s="551"/>
      <c r="E1" s="551"/>
      <c r="F1" s="551"/>
      <c r="G1" s="551"/>
      <c r="H1" s="551"/>
      <c r="I1" s="551"/>
      <c r="J1" s="551"/>
      <c r="K1" s="551"/>
      <c r="L1" s="550"/>
    </row>
    <row r="2" spans="1:14" ht="18" customHeight="1" x14ac:dyDescent="0.3">
      <c r="A2" s="76"/>
      <c r="B2" s="449"/>
      <c r="C2" s="449"/>
      <c r="D2" s="449"/>
      <c r="E2" s="449"/>
      <c r="F2" s="449"/>
      <c r="G2" s="449"/>
      <c r="H2" s="449"/>
      <c r="I2" s="94" t="s">
        <v>8</v>
      </c>
      <c r="J2" s="682" t="str">
        <f>IF(NOT(ISBLANK(CoverSheet!$C$8)),CoverSheet!$C$8,"")</f>
        <v>Alpine Energy Limited</v>
      </c>
      <c r="K2" s="683"/>
      <c r="L2" s="50"/>
    </row>
    <row r="3" spans="1:14" ht="18" customHeight="1" x14ac:dyDescent="0.25">
      <c r="A3" s="76"/>
      <c r="B3" s="449"/>
      <c r="C3" s="449"/>
      <c r="D3" s="449"/>
      <c r="E3" s="449"/>
      <c r="F3" s="449"/>
      <c r="G3" s="449"/>
      <c r="H3" s="449"/>
      <c r="I3" s="94" t="s">
        <v>393</v>
      </c>
      <c r="J3" s="684">
        <f>IF(ISNUMBER(CoverSheet!$C$12),CoverSheet!$C$12,"")</f>
        <v>43190</v>
      </c>
      <c r="K3" s="685"/>
      <c r="L3" s="50"/>
    </row>
    <row r="4" spans="1:14" ht="21" x14ac:dyDescent="0.35">
      <c r="A4" s="51"/>
      <c r="B4" s="102"/>
      <c r="C4" s="102"/>
      <c r="D4" s="102"/>
      <c r="E4" s="449"/>
      <c r="F4" s="449"/>
      <c r="G4" s="449"/>
      <c r="H4" s="449"/>
      <c r="I4" s="449"/>
      <c r="J4" s="452"/>
      <c r="K4" s="452"/>
      <c r="L4" s="50"/>
    </row>
    <row r="5" spans="1:14" s="32" customFormat="1" ht="24" customHeight="1" x14ac:dyDescent="0.35">
      <c r="A5" s="687" t="s">
        <v>364</v>
      </c>
      <c r="B5" s="688"/>
      <c r="C5" s="688"/>
      <c r="D5" s="688"/>
      <c r="E5" s="688"/>
      <c r="F5" s="688"/>
      <c r="G5" s="688"/>
      <c r="H5" s="688"/>
      <c r="I5" s="688"/>
      <c r="J5" s="688"/>
      <c r="K5" s="688"/>
      <c r="L5" s="689"/>
    </row>
    <row r="6" spans="1:14" s="33" customFormat="1" ht="22.5" customHeight="1" x14ac:dyDescent="0.2">
      <c r="A6" s="637" t="s">
        <v>472</v>
      </c>
      <c r="B6" s="638"/>
      <c r="C6" s="638"/>
      <c r="D6" s="638"/>
      <c r="E6" s="638"/>
      <c r="F6" s="638"/>
      <c r="G6" s="638"/>
      <c r="H6" s="638"/>
      <c r="I6" s="638"/>
      <c r="J6" s="638"/>
      <c r="K6" s="638"/>
      <c r="L6" s="681"/>
    </row>
    <row r="7" spans="1:14" ht="15" customHeight="1" x14ac:dyDescent="0.2">
      <c r="A7" s="87" t="s">
        <v>623</v>
      </c>
      <c r="B7" s="452"/>
      <c r="C7" s="452"/>
      <c r="D7" s="452"/>
      <c r="E7" s="449"/>
      <c r="F7" s="449"/>
      <c r="G7" s="449"/>
      <c r="H7" s="449"/>
      <c r="I7" s="449"/>
      <c r="J7" s="449"/>
      <c r="K7" s="449"/>
      <c r="L7" s="50"/>
    </row>
    <row r="8" spans="1:14" ht="33" customHeight="1" x14ac:dyDescent="0.2">
      <c r="A8" s="116">
        <v>8</v>
      </c>
      <c r="B8" s="97"/>
      <c r="C8" s="97"/>
      <c r="D8" s="97"/>
      <c r="E8" s="441"/>
      <c r="F8" s="353" t="s">
        <v>82</v>
      </c>
      <c r="G8" s="441"/>
      <c r="H8" s="441"/>
      <c r="I8" s="441"/>
      <c r="J8" s="146" t="s">
        <v>75</v>
      </c>
      <c r="K8" s="146" t="s">
        <v>402</v>
      </c>
      <c r="L8" s="34"/>
    </row>
    <row r="9" spans="1:14" ht="15" customHeight="1" x14ac:dyDescent="0.2">
      <c r="A9" s="116">
        <v>9</v>
      </c>
      <c r="B9" s="97"/>
      <c r="C9" s="97"/>
      <c r="D9" s="97"/>
      <c r="E9" s="441"/>
      <c r="F9" s="690" t="s">
        <v>932</v>
      </c>
      <c r="G9" s="625"/>
      <c r="H9" s="626"/>
      <c r="I9" s="441"/>
      <c r="J9" s="3" t="s">
        <v>932</v>
      </c>
      <c r="K9" s="3">
        <v>0</v>
      </c>
      <c r="L9" s="34"/>
      <c r="N9" s="269"/>
    </row>
    <row r="10" spans="1:14" ht="15" customHeight="1" x14ac:dyDescent="0.2">
      <c r="A10" s="116">
        <v>10</v>
      </c>
      <c r="B10" s="97"/>
      <c r="C10" s="97"/>
      <c r="D10" s="97"/>
      <c r="E10" s="441"/>
      <c r="F10" s="690"/>
      <c r="G10" s="625"/>
      <c r="H10" s="626"/>
      <c r="I10" s="441"/>
      <c r="J10" s="3"/>
      <c r="K10" s="3"/>
      <c r="L10" s="34"/>
    </row>
    <row r="11" spans="1:14" ht="15" customHeight="1" x14ac:dyDescent="0.2">
      <c r="A11" s="116">
        <v>11</v>
      </c>
      <c r="B11" s="97"/>
      <c r="C11" s="97"/>
      <c r="D11" s="97"/>
      <c r="E11" s="441"/>
      <c r="F11" s="690"/>
      <c r="G11" s="625"/>
      <c r="H11" s="626"/>
      <c r="I11" s="441"/>
      <c r="J11" s="3"/>
      <c r="K11" s="3"/>
      <c r="L11" s="34"/>
    </row>
    <row r="12" spans="1:14" ht="15" customHeight="1" x14ac:dyDescent="0.2">
      <c r="A12" s="116">
        <v>12</v>
      </c>
      <c r="B12" s="97"/>
      <c r="C12" s="97"/>
      <c r="D12" s="97"/>
      <c r="E12" s="441"/>
      <c r="F12" s="690"/>
      <c r="G12" s="625"/>
      <c r="H12" s="626"/>
      <c r="I12" s="441"/>
      <c r="J12" s="3"/>
      <c r="K12" s="3"/>
      <c r="L12" s="34"/>
    </row>
    <row r="13" spans="1:14" ht="15" customHeight="1" x14ac:dyDescent="0.2">
      <c r="A13" s="116">
        <v>13</v>
      </c>
      <c r="B13" s="97"/>
      <c r="C13" s="97"/>
      <c r="D13" s="97"/>
      <c r="E13" s="441"/>
      <c r="F13" s="690"/>
      <c r="G13" s="625"/>
      <c r="H13" s="626"/>
      <c r="I13" s="441"/>
      <c r="J13" s="3"/>
      <c r="K13" s="3"/>
      <c r="L13" s="34"/>
    </row>
    <row r="14" spans="1:14" ht="15" customHeight="1" x14ac:dyDescent="0.2">
      <c r="A14" s="116">
        <v>14</v>
      </c>
      <c r="B14" s="97"/>
      <c r="C14" s="97"/>
      <c r="D14" s="97"/>
      <c r="E14" s="441"/>
      <c r="F14" s="690"/>
      <c r="G14" s="625"/>
      <c r="H14" s="626"/>
      <c r="I14" s="441"/>
      <c r="J14" s="3"/>
      <c r="K14" s="3"/>
      <c r="L14" s="34"/>
    </row>
    <row r="15" spans="1:14" ht="15" customHeight="1" x14ac:dyDescent="0.2">
      <c r="A15" s="116">
        <v>15</v>
      </c>
      <c r="B15" s="97"/>
      <c r="C15" s="97"/>
      <c r="D15" s="97"/>
      <c r="E15" s="441"/>
      <c r="F15" s="690"/>
      <c r="G15" s="625"/>
      <c r="H15" s="626"/>
      <c r="I15" s="441"/>
      <c r="J15" s="3"/>
      <c r="K15" s="3"/>
      <c r="L15" s="34"/>
    </row>
    <row r="16" spans="1:14" ht="15" customHeight="1" x14ac:dyDescent="0.2">
      <c r="A16" s="116">
        <v>16</v>
      </c>
      <c r="B16" s="97"/>
      <c r="C16" s="97"/>
      <c r="D16" s="97"/>
      <c r="E16" s="441"/>
      <c r="F16" s="690"/>
      <c r="G16" s="625"/>
      <c r="H16" s="626"/>
      <c r="I16" s="441"/>
      <c r="J16" s="3"/>
      <c r="K16" s="3"/>
      <c r="L16" s="34"/>
    </row>
    <row r="17" spans="1:12" ht="15" customHeight="1" x14ac:dyDescent="0.2">
      <c r="A17" s="116">
        <v>17</v>
      </c>
      <c r="B17" s="97"/>
      <c r="C17" s="97"/>
      <c r="D17" s="97"/>
      <c r="E17" s="441"/>
      <c r="F17" s="690"/>
      <c r="G17" s="625"/>
      <c r="H17" s="626"/>
      <c r="I17" s="441"/>
      <c r="J17" s="3"/>
      <c r="K17" s="3"/>
      <c r="L17" s="34"/>
    </row>
    <row r="18" spans="1:12" ht="15" customHeight="1" x14ac:dyDescent="0.2">
      <c r="A18" s="116">
        <v>18</v>
      </c>
      <c r="B18" s="97"/>
      <c r="C18" s="97"/>
      <c r="D18" s="97"/>
      <c r="E18" s="441"/>
      <c r="F18" s="690"/>
      <c r="G18" s="625"/>
      <c r="H18" s="626"/>
      <c r="I18" s="441"/>
      <c r="J18" s="3"/>
      <c r="K18" s="3"/>
      <c r="L18" s="34"/>
    </row>
    <row r="19" spans="1:12" ht="15" customHeight="1" x14ac:dyDescent="0.2">
      <c r="A19" s="116">
        <v>19</v>
      </c>
      <c r="B19" s="97"/>
      <c r="C19" s="97"/>
      <c r="D19" s="97"/>
      <c r="E19" s="441"/>
      <c r="F19" s="690"/>
      <c r="G19" s="625"/>
      <c r="H19" s="626"/>
      <c r="I19" s="441"/>
      <c r="J19" s="3"/>
      <c r="K19" s="3"/>
      <c r="L19" s="34"/>
    </row>
    <row r="20" spans="1:12" ht="15" customHeight="1" x14ac:dyDescent="0.2">
      <c r="A20" s="116">
        <v>20</v>
      </c>
      <c r="B20" s="97"/>
      <c r="C20" s="97"/>
      <c r="D20" s="97"/>
      <c r="E20" s="441"/>
      <c r="F20" s="690"/>
      <c r="G20" s="625"/>
      <c r="H20" s="626"/>
      <c r="I20" s="441"/>
      <c r="J20" s="3"/>
      <c r="K20" s="3"/>
      <c r="L20" s="34"/>
    </row>
    <row r="21" spans="1:12" ht="15" customHeight="1" x14ac:dyDescent="0.2">
      <c r="A21" s="116">
        <v>21</v>
      </c>
      <c r="B21" s="97"/>
      <c r="C21" s="97"/>
      <c r="D21" s="97"/>
      <c r="E21" s="441"/>
      <c r="F21" s="690"/>
      <c r="G21" s="625"/>
      <c r="H21" s="626"/>
      <c r="I21" s="441"/>
      <c r="J21" s="3"/>
      <c r="K21" s="3"/>
      <c r="L21" s="34"/>
    </row>
    <row r="22" spans="1:12" ht="15" customHeight="1" x14ac:dyDescent="0.2">
      <c r="A22" s="116">
        <v>22</v>
      </c>
      <c r="B22" s="97"/>
      <c r="C22" s="97"/>
      <c r="D22" s="97"/>
      <c r="E22" s="441"/>
      <c r="F22" s="690"/>
      <c r="G22" s="625"/>
      <c r="H22" s="626"/>
      <c r="I22" s="441"/>
      <c r="J22" s="3"/>
      <c r="K22" s="3"/>
      <c r="L22" s="34"/>
    </row>
    <row r="23" spans="1:12" ht="15" customHeight="1" x14ac:dyDescent="0.2">
      <c r="A23" s="116">
        <v>23</v>
      </c>
      <c r="B23" s="97"/>
      <c r="C23" s="97"/>
      <c r="D23" s="97"/>
      <c r="E23" s="441"/>
      <c r="F23" s="690"/>
      <c r="G23" s="625"/>
      <c r="H23" s="626"/>
      <c r="I23" s="441"/>
      <c r="J23" s="3"/>
      <c r="K23" s="3"/>
      <c r="L23" s="34"/>
    </row>
    <row r="24" spans="1:12" ht="15" customHeight="1" x14ac:dyDescent="0.2">
      <c r="A24" s="116">
        <v>24</v>
      </c>
      <c r="B24" s="97"/>
      <c r="C24" s="97"/>
      <c r="D24" s="97"/>
      <c r="E24" s="441"/>
      <c r="F24" s="690"/>
      <c r="G24" s="625"/>
      <c r="H24" s="626"/>
      <c r="I24" s="441"/>
      <c r="J24" s="3"/>
      <c r="K24" s="3"/>
      <c r="L24" s="34"/>
    </row>
    <row r="25" spans="1:12" ht="15" customHeight="1" x14ac:dyDescent="0.2">
      <c r="A25" s="116">
        <v>25</v>
      </c>
      <c r="B25" s="97"/>
      <c r="C25" s="97"/>
      <c r="D25" s="97"/>
      <c r="E25" s="441"/>
      <c r="F25" s="690"/>
      <c r="G25" s="625"/>
      <c r="H25" s="626"/>
      <c r="I25" s="441"/>
      <c r="J25" s="3"/>
      <c r="K25" s="3"/>
      <c r="L25" s="34"/>
    </row>
    <row r="26" spans="1:12" s="115" customFormat="1" ht="24" customHeight="1" x14ac:dyDescent="0.2">
      <c r="A26" s="116">
        <v>26</v>
      </c>
      <c r="B26" s="140"/>
      <c r="C26" s="686" t="s">
        <v>473</v>
      </c>
      <c r="D26" s="686"/>
      <c r="E26" s="686"/>
      <c r="F26" s="686"/>
      <c r="G26" s="686"/>
      <c r="H26" s="686"/>
      <c r="I26" s="686"/>
      <c r="J26" s="686"/>
      <c r="K26" s="686"/>
      <c r="L26" s="34"/>
    </row>
    <row r="27" spans="1:12" s="115" customFormat="1" x14ac:dyDescent="0.2">
      <c r="A27" s="39"/>
      <c r="B27" s="85"/>
      <c r="C27" s="101"/>
      <c r="D27" s="85"/>
      <c r="E27" s="85"/>
      <c r="F27" s="41"/>
      <c r="G27" s="41"/>
      <c r="H27" s="41"/>
      <c r="I27" s="41"/>
      <c r="J27" s="41"/>
      <c r="K27" s="41"/>
      <c r="L27" s="47"/>
    </row>
  </sheetData>
  <sheetProtection formatRows="0" insertRows="0"/>
  <customSheetViews>
    <customSheetView guid="{21F2E024-704F-4E93-AC63-213755ECFFE0}" scale="85" showPageBreaks="1" showGridLines="0" fitToPage="1" printArea="1" view="pageBreakPreview">
      <selection activeCell="S11" sqref="S11"/>
      <pageMargins left="0.70866141732283472" right="0.70866141732283472" top="0.74803149606299213" bottom="0.74803149606299213" header="0.31496062992125984" footer="0.31496062992125984"/>
      <pageSetup paperSize="9" scale="95" fitToHeight="10" orientation="landscape"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22">
    <mergeCell ref="F25:H25"/>
    <mergeCell ref="F20:H20"/>
    <mergeCell ref="F21:H21"/>
    <mergeCell ref="F22:H22"/>
    <mergeCell ref="F23:H23"/>
    <mergeCell ref="F24:H24"/>
    <mergeCell ref="J2:K2"/>
    <mergeCell ref="J3:K3"/>
    <mergeCell ref="C26:K26"/>
    <mergeCell ref="A5:L5"/>
    <mergeCell ref="F9:H9"/>
    <mergeCell ref="A6:L6"/>
    <mergeCell ref="F15:H15"/>
    <mergeCell ref="F16:H16"/>
    <mergeCell ref="F17:H17"/>
    <mergeCell ref="F18:H18"/>
    <mergeCell ref="F19:H19"/>
    <mergeCell ref="F10:H10"/>
    <mergeCell ref="F11:H11"/>
    <mergeCell ref="F12:H12"/>
    <mergeCell ref="F13:H13"/>
    <mergeCell ref="F14:H14"/>
  </mergeCells>
  <dataValidations count="1">
    <dataValidation allowBlank="1" showInputMessage="1" showErrorMessage="1" prompt="Please enter text" sqref="F9:F25"/>
  </dataValidations>
  <pageMargins left="0.70866141732283472" right="0.70866141732283472" top="0.74803149606299213" bottom="0.74803149606299213" header="0.31496062992125989" footer="0.31496062992125989"/>
  <pageSetup paperSize="9" scale="60" orientation="portrait" r:id="rId2"/>
  <headerFooter alignWithMargins="0">
    <oddHeader>&amp;CCommerce Commission Information Disclosure Template</oddHeader>
    <oddFooter>&amp;L&amp;F&amp;C&amp;P&amp;R&amp;A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tint="-0.499984740745262"/>
    <pageSetUpPr fitToPage="1"/>
  </sheetPr>
  <dimension ref="A1:N53"/>
  <sheetViews>
    <sheetView showGridLines="0" zoomScaleNormal="100" zoomScaleSheetLayoutView="100" workbookViewId="0">
      <selection activeCell="F7" sqref="F7"/>
    </sheetView>
  </sheetViews>
  <sheetFormatPr defaultColWidth="9.140625" defaultRowHeight="12.75" x14ac:dyDescent="0.2"/>
  <cols>
    <col min="1" max="1" width="4.5703125" style="29" customWidth="1"/>
    <col min="2" max="2" width="2.5703125" style="100" customWidth="1"/>
    <col min="3" max="3" width="6.140625" style="29" customWidth="1"/>
    <col min="4" max="5" width="2.28515625" style="29" customWidth="1"/>
    <col min="6" max="6" width="62.42578125" style="27" customWidth="1"/>
    <col min="7" max="8" width="3.7109375" style="27" customWidth="1"/>
    <col min="9" max="9" width="12.85546875" style="27" customWidth="1"/>
    <col min="10" max="10" width="16.140625" style="29" customWidth="1"/>
    <col min="11" max="11" width="16.140625" style="125" customWidth="1"/>
    <col min="12" max="12" width="2.7109375" style="29" customWidth="1"/>
    <col min="13" max="13" width="9.140625" style="214"/>
    <col min="14" max="16384" width="9.140625" style="29"/>
  </cols>
  <sheetData>
    <row r="1" spans="1:13" s="19" customFormat="1" ht="15" customHeight="1" x14ac:dyDescent="0.2">
      <c r="A1" s="555"/>
      <c r="B1" s="551"/>
      <c r="C1" s="551"/>
      <c r="D1" s="551"/>
      <c r="E1" s="551"/>
      <c r="F1" s="551"/>
      <c r="G1" s="551"/>
      <c r="H1" s="551"/>
      <c r="I1" s="551"/>
      <c r="J1" s="551"/>
      <c r="K1" s="551"/>
      <c r="L1" s="550"/>
      <c r="M1" s="212"/>
    </row>
    <row r="2" spans="1:13" s="19" customFormat="1" ht="18" customHeight="1" x14ac:dyDescent="0.3">
      <c r="A2" s="76"/>
      <c r="B2" s="449"/>
      <c r="C2" s="449"/>
      <c r="D2" s="449"/>
      <c r="E2" s="449"/>
      <c r="F2" s="449"/>
      <c r="G2" s="452"/>
      <c r="H2" s="94" t="s">
        <v>8</v>
      </c>
      <c r="I2" s="611" t="str">
        <f>IF(NOT(ISBLANK(CoverSheet!$C$8)),CoverSheet!$C$8,"")</f>
        <v>Alpine Energy Limited</v>
      </c>
      <c r="J2" s="611"/>
      <c r="K2" s="611"/>
      <c r="L2" s="50"/>
      <c r="M2" s="212"/>
    </row>
    <row r="3" spans="1:13" s="19" customFormat="1" ht="18" customHeight="1" x14ac:dyDescent="0.25">
      <c r="A3" s="76"/>
      <c r="B3" s="449"/>
      <c r="C3" s="449"/>
      <c r="D3" s="449"/>
      <c r="E3" s="449"/>
      <c r="F3" s="449"/>
      <c r="G3" s="452"/>
      <c r="H3" s="94" t="s">
        <v>393</v>
      </c>
      <c r="I3" s="612">
        <f>IF(ISNUMBER(CoverSheet!$C$12),CoverSheet!$C$12,"")</f>
        <v>43190</v>
      </c>
      <c r="J3" s="612"/>
      <c r="K3" s="612"/>
      <c r="L3" s="50"/>
      <c r="M3" s="212"/>
    </row>
    <row r="4" spans="1:13" s="115" customFormat="1" ht="18" customHeight="1" x14ac:dyDescent="0.3">
      <c r="A4" s="76"/>
      <c r="B4" s="449"/>
      <c r="C4" s="449"/>
      <c r="D4" s="449"/>
      <c r="E4" s="449"/>
      <c r="F4" s="449"/>
      <c r="G4" s="452"/>
      <c r="H4" s="94" t="s">
        <v>94</v>
      </c>
      <c r="I4" s="669"/>
      <c r="J4" s="669"/>
      <c r="K4" s="669"/>
      <c r="L4" s="50"/>
      <c r="M4" s="212"/>
    </row>
    <row r="5" spans="1:13" s="19" customFormat="1" ht="21" x14ac:dyDescent="0.35">
      <c r="A5" s="545" t="s">
        <v>510</v>
      </c>
      <c r="B5" s="137"/>
      <c r="C5" s="449"/>
      <c r="D5" s="449"/>
      <c r="E5" s="449"/>
      <c r="F5" s="449"/>
      <c r="G5" s="452"/>
      <c r="H5" s="449"/>
      <c r="I5" s="449"/>
      <c r="J5" s="449"/>
      <c r="K5" s="449"/>
      <c r="L5" s="50"/>
      <c r="M5" s="212"/>
    </row>
    <row r="6" spans="1:13" s="32" customFormat="1" ht="36" customHeight="1" x14ac:dyDescent="0.2">
      <c r="A6" s="637" t="s">
        <v>441</v>
      </c>
      <c r="B6" s="638"/>
      <c r="C6" s="638"/>
      <c r="D6" s="638"/>
      <c r="E6" s="638"/>
      <c r="F6" s="638"/>
      <c r="G6" s="638"/>
      <c r="H6" s="638"/>
      <c r="I6" s="638"/>
      <c r="J6" s="638"/>
      <c r="K6" s="133"/>
      <c r="L6" s="95"/>
      <c r="M6" s="214"/>
    </row>
    <row r="7" spans="1:13" ht="15" customHeight="1" x14ac:dyDescent="0.2">
      <c r="A7" s="87" t="s">
        <v>623</v>
      </c>
      <c r="B7" s="452"/>
      <c r="C7" s="452"/>
      <c r="D7" s="449"/>
      <c r="E7" s="449"/>
      <c r="F7" s="449"/>
      <c r="G7" s="449"/>
      <c r="H7" s="449"/>
      <c r="I7" s="449"/>
      <c r="J7" s="449"/>
      <c r="K7" s="449"/>
      <c r="L7" s="50"/>
    </row>
    <row r="8" spans="1:13" ht="25.5" customHeight="1" x14ac:dyDescent="0.3">
      <c r="A8" s="116">
        <v>8</v>
      </c>
      <c r="B8" s="97"/>
      <c r="C8" s="99" t="s">
        <v>421</v>
      </c>
      <c r="D8" s="451"/>
      <c r="E8" s="441"/>
      <c r="F8" s="441"/>
      <c r="G8" s="441"/>
      <c r="H8" s="441"/>
      <c r="I8" s="441"/>
      <c r="J8" s="441"/>
      <c r="K8" s="441"/>
      <c r="L8" s="34"/>
    </row>
    <row r="9" spans="1:13" s="124" customFormat="1" ht="12" customHeight="1" x14ac:dyDescent="0.2">
      <c r="A9" s="116">
        <v>9</v>
      </c>
      <c r="B9" s="97"/>
      <c r="C9" s="444"/>
      <c r="D9" s="444"/>
      <c r="E9" s="444" t="s">
        <v>423</v>
      </c>
      <c r="F9" s="441"/>
      <c r="G9" s="441"/>
      <c r="H9" s="441"/>
      <c r="I9" s="441"/>
      <c r="J9" s="441"/>
      <c r="K9" s="441"/>
      <c r="L9" s="34"/>
      <c r="M9" s="214"/>
    </row>
    <row r="10" spans="1:13" ht="31.5" customHeight="1" x14ac:dyDescent="0.2">
      <c r="A10" s="116">
        <v>10</v>
      </c>
      <c r="B10" s="97"/>
      <c r="C10" s="441"/>
      <c r="D10" s="441"/>
      <c r="E10" s="441"/>
      <c r="F10" s="444" t="s">
        <v>503</v>
      </c>
      <c r="G10" s="441"/>
      <c r="H10" s="441"/>
      <c r="I10" s="441"/>
      <c r="J10" s="141" t="s">
        <v>371</v>
      </c>
      <c r="K10" s="441"/>
      <c r="L10" s="34"/>
    </row>
    <row r="11" spans="1:13" ht="15" customHeight="1" x14ac:dyDescent="0.2">
      <c r="A11" s="116">
        <v>11</v>
      </c>
      <c r="B11" s="97"/>
      <c r="C11" s="693"/>
      <c r="D11" s="693"/>
      <c r="E11" s="441"/>
      <c r="F11" s="439" t="s">
        <v>960</v>
      </c>
      <c r="G11" s="441"/>
      <c r="H11" s="441"/>
      <c r="I11" s="441"/>
      <c r="J11" s="582">
        <v>15</v>
      </c>
      <c r="K11" s="441"/>
      <c r="L11" s="34"/>
    </row>
    <row r="12" spans="1:13" s="269" customFormat="1" ht="15" customHeight="1" x14ac:dyDescent="0.2">
      <c r="A12" s="116"/>
      <c r="B12" s="97"/>
      <c r="C12" s="571"/>
      <c r="D12" s="571"/>
      <c r="E12" s="569"/>
      <c r="F12" s="594" t="s">
        <v>964</v>
      </c>
      <c r="G12" s="569"/>
      <c r="H12" s="569"/>
      <c r="I12" s="569"/>
      <c r="J12" s="582">
        <v>0</v>
      </c>
      <c r="K12" s="569"/>
      <c r="L12" s="34"/>
      <c r="M12" s="214"/>
    </row>
    <row r="13" spans="1:13" s="269" customFormat="1" ht="15" customHeight="1" x14ac:dyDescent="0.2">
      <c r="A13" s="116"/>
      <c r="B13" s="97"/>
      <c r="C13" s="571"/>
      <c r="D13" s="571"/>
      <c r="E13" s="569"/>
      <c r="F13" s="594" t="s">
        <v>967</v>
      </c>
      <c r="G13" s="569"/>
      <c r="H13" s="569"/>
      <c r="I13" s="569"/>
      <c r="J13" s="582">
        <v>257</v>
      </c>
      <c r="K13" s="569"/>
      <c r="L13" s="34"/>
      <c r="M13" s="214"/>
    </row>
    <row r="14" spans="1:13" s="269" customFormat="1" ht="15" customHeight="1" x14ac:dyDescent="0.2">
      <c r="A14" s="116"/>
      <c r="B14" s="97"/>
      <c r="C14" s="571"/>
      <c r="D14" s="571"/>
      <c r="E14" s="569"/>
      <c r="F14" s="594" t="s">
        <v>970</v>
      </c>
      <c r="G14" s="569"/>
      <c r="H14" s="569"/>
      <c r="I14" s="569"/>
      <c r="J14" s="582">
        <v>2</v>
      </c>
      <c r="K14" s="569"/>
      <c r="L14" s="34"/>
      <c r="M14" s="214"/>
    </row>
    <row r="15" spans="1:13" s="269" customFormat="1" ht="15" customHeight="1" x14ac:dyDescent="0.2">
      <c r="A15" s="116"/>
      <c r="B15" s="97"/>
      <c r="C15" s="571"/>
      <c r="D15" s="571"/>
      <c r="E15" s="569"/>
      <c r="F15" s="594">
        <v>360</v>
      </c>
      <c r="G15" s="569"/>
      <c r="H15" s="569"/>
      <c r="I15" s="569"/>
      <c r="J15" s="582">
        <v>20</v>
      </c>
      <c r="K15" s="569"/>
      <c r="L15" s="34"/>
      <c r="M15" s="214"/>
    </row>
    <row r="16" spans="1:13" s="269" customFormat="1" ht="15" customHeight="1" x14ac:dyDescent="0.2">
      <c r="A16" s="116"/>
      <c r="B16" s="97"/>
      <c r="C16" s="571"/>
      <c r="D16" s="571"/>
      <c r="E16" s="569"/>
      <c r="F16" s="594" t="s">
        <v>976</v>
      </c>
      <c r="G16" s="569"/>
      <c r="H16" s="569"/>
      <c r="I16" s="569"/>
      <c r="J16" s="582">
        <v>0</v>
      </c>
      <c r="K16" s="569"/>
      <c r="L16" s="34"/>
      <c r="M16" s="214"/>
    </row>
    <row r="17" spans="1:13" ht="15" customHeight="1" x14ac:dyDescent="0.2">
      <c r="A17" s="116">
        <v>12</v>
      </c>
      <c r="B17" s="97"/>
      <c r="C17" s="693"/>
      <c r="D17" s="693"/>
      <c r="E17" s="441"/>
      <c r="F17" s="594" t="s">
        <v>979</v>
      </c>
      <c r="G17" s="441"/>
      <c r="H17" s="441"/>
      <c r="I17" s="441"/>
      <c r="J17" s="582">
        <v>25</v>
      </c>
      <c r="K17" s="441"/>
      <c r="L17" s="34"/>
    </row>
    <row r="18" spans="1:13" ht="15" customHeight="1" x14ac:dyDescent="0.2">
      <c r="A18" s="116">
        <v>13</v>
      </c>
      <c r="B18" s="97"/>
      <c r="C18" s="693"/>
      <c r="D18" s="693"/>
      <c r="E18" s="441"/>
      <c r="F18" s="439" t="s">
        <v>982</v>
      </c>
      <c r="G18" s="441"/>
      <c r="H18" s="441"/>
      <c r="I18" s="441"/>
      <c r="J18" s="582">
        <v>1</v>
      </c>
      <c r="K18" s="441"/>
      <c r="L18" s="34"/>
    </row>
    <row r="19" spans="1:13" ht="15" customHeight="1" x14ac:dyDescent="0.2">
      <c r="A19" s="116">
        <v>14</v>
      </c>
      <c r="B19" s="97"/>
      <c r="C19" s="693"/>
      <c r="D19" s="693"/>
      <c r="E19" s="441"/>
      <c r="F19" s="439" t="s">
        <v>985</v>
      </c>
      <c r="G19" s="441"/>
      <c r="H19" s="441"/>
      <c r="I19" s="441"/>
      <c r="J19" s="582">
        <v>0</v>
      </c>
      <c r="K19" s="441"/>
      <c r="L19" s="34"/>
    </row>
    <row r="20" spans="1:13" ht="15" customHeight="1" x14ac:dyDescent="0.2">
      <c r="A20" s="116">
        <v>15</v>
      </c>
      <c r="B20" s="97"/>
      <c r="C20" s="693"/>
      <c r="D20" s="693"/>
      <c r="E20" s="441"/>
      <c r="F20" s="439" t="s">
        <v>988</v>
      </c>
      <c r="G20" s="441"/>
      <c r="H20" s="441"/>
      <c r="I20" s="441"/>
      <c r="J20" s="582">
        <v>0</v>
      </c>
      <c r="K20" s="441"/>
      <c r="L20" s="34"/>
    </row>
    <row r="21" spans="1:13" s="132" customFormat="1" ht="15" customHeight="1" thickBot="1" x14ac:dyDescent="0.25">
      <c r="A21" s="116">
        <v>16</v>
      </c>
      <c r="B21" s="97"/>
      <c r="C21" s="451"/>
      <c r="D21" s="451"/>
      <c r="E21" s="441"/>
      <c r="F21" s="444" t="s">
        <v>655</v>
      </c>
      <c r="G21" s="441"/>
      <c r="H21" s="441"/>
      <c r="I21" s="441"/>
      <c r="J21" s="441"/>
      <c r="K21" s="441"/>
      <c r="L21" s="34"/>
      <c r="M21" s="214"/>
    </row>
    <row r="22" spans="1:13" ht="15" customHeight="1" thickBot="1" x14ac:dyDescent="0.25">
      <c r="A22" s="116">
        <v>17</v>
      </c>
      <c r="B22" s="97"/>
      <c r="C22" s="451"/>
      <c r="D22" s="441"/>
      <c r="E22" s="117" t="s">
        <v>91</v>
      </c>
      <c r="F22" s="451"/>
      <c r="G22" s="441"/>
      <c r="H22" s="441"/>
      <c r="I22" s="441"/>
      <c r="J22" s="464">
        <f>SUM(J11:J20)</f>
        <v>320</v>
      </c>
      <c r="K22" s="441"/>
      <c r="L22" s="34"/>
    </row>
    <row r="23" spans="1:13" x14ac:dyDescent="0.2">
      <c r="A23" s="116">
        <v>18</v>
      </c>
      <c r="B23" s="97"/>
      <c r="C23" s="441"/>
      <c r="D23" s="441"/>
      <c r="E23" s="441"/>
      <c r="F23" s="441"/>
      <c r="G23" s="441"/>
      <c r="H23" s="441"/>
      <c r="I23" s="441"/>
      <c r="J23" s="451"/>
      <c r="K23" s="441"/>
      <c r="L23" s="34"/>
    </row>
    <row r="24" spans="1:13" ht="15.75" x14ac:dyDescent="0.25">
      <c r="A24" s="116">
        <v>19</v>
      </c>
      <c r="B24" s="97"/>
      <c r="C24" s="143"/>
      <c r="D24" s="145" t="s">
        <v>438</v>
      </c>
      <c r="E24" s="441"/>
      <c r="F24" s="143"/>
      <c r="G24" s="441"/>
      <c r="H24" s="441"/>
      <c r="I24" s="441"/>
      <c r="J24" s="451"/>
      <c r="K24" s="441"/>
      <c r="L24" s="34"/>
    </row>
    <row r="25" spans="1:13" ht="15" customHeight="1" x14ac:dyDescent="0.2">
      <c r="A25" s="116">
        <v>20</v>
      </c>
      <c r="B25" s="97"/>
      <c r="C25" s="441"/>
      <c r="D25" s="441"/>
      <c r="E25" s="441"/>
      <c r="F25" s="441" t="s">
        <v>505</v>
      </c>
      <c r="G25" s="441"/>
      <c r="H25" s="441"/>
      <c r="I25" s="441"/>
      <c r="J25" s="582">
        <v>73</v>
      </c>
      <c r="K25" s="129" t="s">
        <v>474</v>
      </c>
      <c r="L25" s="34"/>
    </row>
    <row r="26" spans="1:13" ht="15" customHeight="1" x14ac:dyDescent="0.2">
      <c r="A26" s="116">
        <v>21</v>
      </c>
      <c r="B26" s="97"/>
      <c r="C26" s="441"/>
      <c r="D26" s="441"/>
      <c r="E26" s="441"/>
      <c r="F26" s="441" t="s">
        <v>506</v>
      </c>
      <c r="G26" s="441"/>
      <c r="H26" s="441"/>
      <c r="I26" s="441"/>
      <c r="J26" s="598">
        <v>0.34242000000000006</v>
      </c>
      <c r="K26" s="129" t="s">
        <v>475</v>
      </c>
      <c r="L26" s="34"/>
    </row>
    <row r="27" spans="1:13" ht="30" customHeight="1" x14ac:dyDescent="0.3">
      <c r="A27" s="116">
        <v>22</v>
      </c>
      <c r="B27" s="97"/>
      <c r="C27" s="99" t="s">
        <v>404</v>
      </c>
      <c r="D27" s="441"/>
      <c r="E27" s="441"/>
      <c r="F27" s="441"/>
      <c r="G27" s="441"/>
      <c r="H27" s="441"/>
      <c r="I27" s="441"/>
      <c r="J27" s="441"/>
      <c r="K27" s="441"/>
      <c r="L27" s="34"/>
    </row>
    <row r="28" spans="1:13" x14ac:dyDescent="0.2">
      <c r="A28" s="116">
        <v>23</v>
      </c>
      <c r="B28" s="97"/>
      <c r="C28" s="139"/>
      <c r="D28" s="139"/>
      <c r="E28" s="441"/>
      <c r="F28" s="441"/>
      <c r="G28" s="441"/>
      <c r="H28" s="441"/>
      <c r="I28" s="441"/>
      <c r="J28" s="441"/>
      <c r="K28" s="441"/>
      <c r="L28" s="34"/>
    </row>
    <row r="29" spans="1:13" x14ac:dyDescent="0.2">
      <c r="A29" s="116">
        <v>24</v>
      </c>
      <c r="B29" s="97"/>
      <c r="C29" s="441"/>
      <c r="D29" s="441"/>
      <c r="E29" s="441"/>
      <c r="F29" s="441"/>
      <c r="G29" s="441"/>
      <c r="H29" s="441"/>
      <c r="I29" s="441"/>
      <c r="J29" s="691" t="s">
        <v>476</v>
      </c>
      <c r="K29" s="441"/>
      <c r="L29" s="34"/>
    </row>
    <row r="30" spans="1:13" ht="53.25" customHeight="1" x14ac:dyDescent="0.25">
      <c r="A30" s="116">
        <v>25</v>
      </c>
      <c r="B30" s="97"/>
      <c r="C30" s="451"/>
      <c r="D30" s="145" t="s">
        <v>403</v>
      </c>
      <c r="E30" s="441"/>
      <c r="F30" s="441"/>
      <c r="G30" s="441"/>
      <c r="H30" s="441"/>
      <c r="I30" s="441"/>
      <c r="J30" s="692"/>
      <c r="K30" s="441"/>
      <c r="L30" s="34"/>
    </row>
    <row r="31" spans="1:13" ht="15" customHeight="1" x14ac:dyDescent="0.2">
      <c r="A31" s="116">
        <v>26</v>
      </c>
      <c r="B31" s="97"/>
      <c r="C31" s="441"/>
      <c r="D31" s="441"/>
      <c r="E31" s="441"/>
      <c r="F31" s="441" t="s">
        <v>102</v>
      </c>
      <c r="G31" s="441"/>
      <c r="H31" s="441"/>
      <c r="I31" s="441"/>
      <c r="J31" s="582">
        <v>143.46799999999999</v>
      </c>
      <c r="K31" s="441"/>
      <c r="L31" s="34"/>
    </row>
    <row r="32" spans="1:13" ht="15" customHeight="1" thickBot="1" x14ac:dyDescent="0.25">
      <c r="A32" s="116">
        <v>27</v>
      </c>
      <c r="B32" s="97"/>
      <c r="C32" s="441"/>
      <c r="D32" s="55" t="s">
        <v>6</v>
      </c>
      <c r="E32" s="441"/>
      <c r="F32" s="441" t="s">
        <v>439</v>
      </c>
      <c r="G32" s="441"/>
      <c r="H32" s="441"/>
      <c r="I32" s="441"/>
      <c r="J32" s="582">
        <v>2.6419999999999999</v>
      </c>
      <c r="K32" s="441"/>
      <c r="L32" s="34"/>
    </row>
    <row r="33" spans="1:13" ht="15" customHeight="1" thickBot="1" x14ac:dyDescent="0.25">
      <c r="A33" s="116">
        <v>28</v>
      </c>
      <c r="B33" s="97"/>
      <c r="C33" s="441"/>
      <c r="D33" s="55"/>
      <c r="E33" s="98" t="s">
        <v>403</v>
      </c>
      <c r="F33" s="441"/>
      <c r="G33" s="441"/>
      <c r="H33" s="441"/>
      <c r="I33" s="441"/>
      <c r="J33" s="464">
        <f>J31+J32</f>
        <v>146.10999999999999</v>
      </c>
      <c r="K33" s="441"/>
      <c r="L33" s="34"/>
    </row>
    <row r="34" spans="1:13" ht="15" customHeight="1" thickBot="1" x14ac:dyDescent="0.25">
      <c r="A34" s="116">
        <v>29</v>
      </c>
      <c r="B34" s="97"/>
      <c r="C34" s="441"/>
      <c r="D34" s="55" t="s">
        <v>5</v>
      </c>
      <c r="E34" s="441"/>
      <c r="F34" s="441" t="s">
        <v>103</v>
      </c>
      <c r="G34" s="441"/>
      <c r="H34" s="441"/>
      <c r="I34" s="441"/>
      <c r="J34" s="3">
        <v>0</v>
      </c>
      <c r="K34" s="441"/>
      <c r="L34" s="34"/>
    </row>
    <row r="35" spans="1:13" ht="15" customHeight="1" thickBot="1" x14ac:dyDescent="0.25">
      <c r="A35" s="116">
        <v>30</v>
      </c>
      <c r="B35" s="97"/>
      <c r="C35" s="441"/>
      <c r="D35" s="55"/>
      <c r="E35" s="98" t="s">
        <v>430</v>
      </c>
      <c r="F35" s="441"/>
      <c r="G35" s="441"/>
      <c r="H35" s="441"/>
      <c r="I35" s="441"/>
      <c r="J35" s="464">
        <f>J33-J34</f>
        <v>146.10999999999999</v>
      </c>
      <c r="K35" s="441"/>
      <c r="L35" s="34"/>
    </row>
    <row r="36" spans="1:13" ht="30" customHeight="1" x14ac:dyDescent="0.25">
      <c r="A36" s="116">
        <v>31</v>
      </c>
      <c r="B36" s="97"/>
      <c r="C36" s="451"/>
      <c r="D36" s="145" t="s">
        <v>477</v>
      </c>
      <c r="E36" s="441"/>
      <c r="F36" s="441"/>
      <c r="G36" s="441"/>
      <c r="H36" s="441"/>
      <c r="I36" s="441"/>
      <c r="J36" s="141" t="s">
        <v>478</v>
      </c>
      <c r="K36" s="141"/>
      <c r="L36" s="34"/>
    </row>
    <row r="37" spans="1:13" ht="15" customHeight="1" x14ac:dyDescent="0.2">
      <c r="A37" s="116">
        <v>32</v>
      </c>
      <c r="B37" s="97"/>
      <c r="C37" s="441"/>
      <c r="D37" s="55"/>
      <c r="E37" s="441"/>
      <c r="F37" s="441" t="s">
        <v>104</v>
      </c>
      <c r="G37" s="441"/>
      <c r="H37" s="441"/>
      <c r="I37" s="441"/>
      <c r="J37" s="582">
        <v>791.183762</v>
      </c>
      <c r="K37" s="441"/>
      <c r="L37" s="34"/>
    </row>
    <row r="38" spans="1:13" ht="15" customHeight="1" x14ac:dyDescent="0.2">
      <c r="A38" s="116">
        <v>33</v>
      </c>
      <c r="B38" s="97"/>
      <c r="C38" s="441"/>
      <c r="D38" s="55" t="s">
        <v>5</v>
      </c>
      <c r="E38" s="441"/>
      <c r="F38" s="441" t="s">
        <v>105</v>
      </c>
      <c r="G38" s="441"/>
      <c r="H38" s="441"/>
      <c r="I38" s="441"/>
      <c r="J38" s="582">
        <v>22.398419000000001</v>
      </c>
      <c r="K38" s="441"/>
      <c r="L38" s="34"/>
    </row>
    <row r="39" spans="1:13" ht="15" customHeight="1" x14ac:dyDescent="0.2">
      <c r="A39" s="116">
        <v>34</v>
      </c>
      <c r="B39" s="97"/>
      <c r="C39" s="441"/>
      <c r="D39" s="55" t="s">
        <v>6</v>
      </c>
      <c r="E39" s="441"/>
      <c r="F39" s="441" t="s">
        <v>440</v>
      </c>
      <c r="G39" s="441"/>
      <c r="H39" s="441"/>
      <c r="I39" s="441"/>
      <c r="J39" s="582">
        <v>38.069110819999985</v>
      </c>
      <c r="K39" s="441"/>
      <c r="L39" s="34"/>
    </row>
    <row r="40" spans="1:13" ht="15" customHeight="1" thickBot="1" x14ac:dyDescent="0.25">
      <c r="A40" s="116">
        <v>35</v>
      </c>
      <c r="B40" s="97"/>
      <c r="C40" s="441"/>
      <c r="D40" s="55" t="s">
        <v>5</v>
      </c>
      <c r="E40" s="441"/>
      <c r="F40" s="441" t="s">
        <v>106</v>
      </c>
      <c r="G40" s="441"/>
      <c r="H40" s="441"/>
      <c r="I40" s="441"/>
      <c r="J40" s="582">
        <v>0</v>
      </c>
      <c r="K40" s="441"/>
      <c r="L40" s="34"/>
    </row>
    <row r="41" spans="1:13" ht="15" customHeight="1" thickBot="1" x14ac:dyDescent="0.25">
      <c r="A41" s="116">
        <v>36</v>
      </c>
      <c r="B41" s="97"/>
      <c r="C41" s="441"/>
      <c r="D41" s="441"/>
      <c r="E41" s="98" t="s">
        <v>431</v>
      </c>
      <c r="F41" s="441"/>
      <c r="G41" s="441"/>
      <c r="H41" s="441"/>
      <c r="I41" s="441"/>
      <c r="J41" s="464">
        <f>J37-J38+J39-J40</f>
        <v>806.85445382</v>
      </c>
      <c r="K41" s="441"/>
      <c r="L41" s="34"/>
    </row>
    <row r="42" spans="1:13" s="125" customFormat="1" ht="15" customHeight="1" thickBot="1" x14ac:dyDescent="0.25">
      <c r="A42" s="116">
        <v>37</v>
      </c>
      <c r="B42" s="97"/>
      <c r="C42" s="441"/>
      <c r="D42" s="55" t="s">
        <v>5</v>
      </c>
      <c r="E42" s="441"/>
      <c r="F42" s="441" t="s">
        <v>453</v>
      </c>
      <c r="G42" s="441"/>
      <c r="H42" s="441"/>
      <c r="I42" s="441"/>
      <c r="J42" s="334">
        <f>'S8.Billed Quantities+Revenues'!H37/1000</f>
        <v>776.56238857000017</v>
      </c>
      <c r="K42" s="441"/>
      <c r="L42" s="34"/>
      <c r="M42" s="214" t="s">
        <v>581</v>
      </c>
    </row>
    <row r="43" spans="1:13" s="125" customFormat="1" ht="15" customHeight="1" thickBot="1" x14ac:dyDescent="0.25">
      <c r="A43" s="116">
        <v>38</v>
      </c>
      <c r="B43" s="97"/>
      <c r="C43" s="441"/>
      <c r="D43" s="55"/>
      <c r="E43" s="98" t="s">
        <v>445</v>
      </c>
      <c r="F43" s="441"/>
      <c r="G43" s="441"/>
      <c r="H43" s="441"/>
      <c r="I43" s="441"/>
      <c r="J43" s="464">
        <f>J41-J42</f>
        <v>30.292065249999837</v>
      </c>
      <c r="K43" s="474">
        <f>IF(J41=0,0,J43/J41)</f>
        <v>3.7543407124524156E-2</v>
      </c>
      <c r="L43" s="34"/>
      <c r="M43" s="214"/>
    </row>
    <row r="44" spans="1:13" ht="12.75" customHeight="1" thickBot="1" x14ac:dyDescent="0.25">
      <c r="A44" s="116">
        <v>39</v>
      </c>
      <c r="B44" s="97"/>
      <c r="C44" s="441"/>
      <c r="D44" s="441"/>
      <c r="E44" s="441"/>
      <c r="F44" s="441"/>
      <c r="G44" s="441"/>
      <c r="H44" s="441"/>
      <c r="I44" s="441"/>
      <c r="J44" s="441"/>
      <c r="K44" s="441"/>
      <c r="L44" s="34"/>
    </row>
    <row r="45" spans="1:13" ht="15" customHeight="1" thickBot="1" x14ac:dyDescent="0.25">
      <c r="A45" s="116">
        <v>40</v>
      </c>
      <c r="B45" s="97"/>
      <c r="C45" s="441"/>
      <c r="D45" s="441"/>
      <c r="E45" s="98" t="s">
        <v>107</v>
      </c>
      <c r="F45" s="441"/>
      <c r="G45" s="441"/>
      <c r="H45" s="441"/>
      <c r="I45" s="441"/>
      <c r="J45" s="475">
        <f>IF(J35&lt;&gt;0,J41/(J35*8760)*1000,0)</f>
        <v>0.63039266860928267</v>
      </c>
      <c r="K45" s="441"/>
      <c r="L45" s="34"/>
    </row>
    <row r="46" spans="1:13" s="225" customFormat="1" ht="30" customHeight="1" x14ac:dyDescent="0.3">
      <c r="A46" s="116">
        <v>41</v>
      </c>
      <c r="B46" s="97"/>
      <c r="C46" s="322" t="s">
        <v>635</v>
      </c>
      <c r="D46" s="323"/>
      <c r="E46" s="323"/>
      <c r="F46" s="323"/>
      <c r="G46" s="441"/>
      <c r="H46" s="441"/>
      <c r="I46" s="441"/>
      <c r="J46" s="150"/>
      <c r="K46" s="441"/>
      <c r="L46" s="34"/>
      <c r="M46" s="214"/>
    </row>
    <row r="47" spans="1:13" s="225" customFormat="1" ht="15.75" x14ac:dyDescent="0.25">
      <c r="A47" s="116">
        <v>42</v>
      </c>
      <c r="B47" s="97"/>
      <c r="C47" s="150"/>
      <c r="D47" s="150"/>
      <c r="E47" s="150"/>
      <c r="F47" s="226"/>
      <c r="G47" s="441"/>
      <c r="H47" s="441"/>
      <c r="I47" s="441"/>
      <c r="J47" s="320" t="s">
        <v>119</v>
      </c>
      <c r="K47" s="441"/>
      <c r="L47" s="34"/>
      <c r="M47" s="214"/>
    </row>
    <row r="48" spans="1:13" s="225" customFormat="1" ht="15" customHeight="1" x14ac:dyDescent="0.2">
      <c r="A48" s="116">
        <v>43</v>
      </c>
      <c r="B48" s="97"/>
      <c r="C48" s="179"/>
      <c r="D48" s="224"/>
      <c r="E48" s="224"/>
      <c r="F48" s="294" t="s">
        <v>108</v>
      </c>
      <c r="G48" s="441"/>
      <c r="H48" s="441"/>
      <c r="I48" s="441"/>
      <c r="J48" s="476">
        <v>569</v>
      </c>
      <c r="K48" s="441"/>
      <c r="L48" s="34"/>
      <c r="M48" s="214" t="s">
        <v>621</v>
      </c>
    </row>
    <row r="49" spans="1:14" s="225" customFormat="1" ht="15" customHeight="1" thickBot="1" x14ac:dyDescent="0.25">
      <c r="A49" s="116">
        <v>44</v>
      </c>
      <c r="B49" s="97"/>
      <c r="C49" s="179"/>
      <c r="D49" s="168"/>
      <c r="E49" s="224"/>
      <c r="F49" s="294" t="s">
        <v>752</v>
      </c>
      <c r="G49" s="441"/>
      <c r="H49" s="441"/>
      <c r="I49" s="441"/>
      <c r="J49" s="476">
        <v>11</v>
      </c>
      <c r="K49" s="441"/>
      <c r="L49" s="34"/>
      <c r="M49" s="214"/>
    </row>
    <row r="50" spans="1:14" s="225" customFormat="1" ht="15" customHeight="1" thickBot="1" x14ac:dyDescent="0.25">
      <c r="A50" s="116">
        <v>45</v>
      </c>
      <c r="B50" s="97"/>
      <c r="C50" s="172"/>
      <c r="D50" s="168"/>
      <c r="E50" s="293" t="s">
        <v>109</v>
      </c>
      <c r="F50" s="324"/>
      <c r="G50" s="441"/>
      <c r="H50" s="441"/>
      <c r="I50" s="441"/>
      <c r="J50" s="453">
        <f>J48+J49</f>
        <v>580</v>
      </c>
      <c r="K50" s="441"/>
      <c r="L50" s="34"/>
      <c r="M50" s="214"/>
    </row>
    <row r="51" spans="1:14" s="225" customFormat="1" ht="15.75" x14ac:dyDescent="0.25">
      <c r="A51" s="116">
        <v>46</v>
      </c>
      <c r="B51" s="97"/>
      <c r="C51" s="172"/>
      <c r="D51" s="168"/>
      <c r="E51" s="224"/>
      <c r="F51" s="172"/>
      <c r="G51" s="441"/>
      <c r="H51" s="441"/>
      <c r="I51" s="441"/>
      <c r="J51" s="150"/>
      <c r="K51" s="441"/>
      <c r="L51" s="34"/>
      <c r="M51" s="214"/>
    </row>
    <row r="52" spans="1:14" s="225" customFormat="1" ht="15" customHeight="1" x14ac:dyDescent="0.2">
      <c r="A52" s="116">
        <v>47</v>
      </c>
      <c r="B52" s="97"/>
      <c r="C52" s="172"/>
      <c r="D52" s="168"/>
      <c r="E52" s="293" t="s">
        <v>110</v>
      </c>
      <c r="F52" s="308"/>
      <c r="G52" s="441"/>
      <c r="H52" s="441"/>
      <c r="I52" s="441"/>
      <c r="J52" s="476">
        <v>330</v>
      </c>
      <c r="K52" s="441"/>
      <c r="L52" s="34"/>
      <c r="M52" s="214"/>
      <c r="N52" s="214"/>
    </row>
    <row r="53" spans="1:14" x14ac:dyDescent="0.2">
      <c r="A53" s="39"/>
      <c r="B53" s="101"/>
      <c r="C53" s="41"/>
      <c r="D53" s="41"/>
      <c r="E53" s="41"/>
      <c r="F53" s="41"/>
      <c r="G53" s="41"/>
      <c r="H53" s="41"/>
      <c r="I53" s="41"/>
      <c r="J53" s="41"/>
      <c r="K53" s="41"/>
      <c r="L53" s="47"/>
    </row>
  </sheetData>
  <sheetProtection formatRows="0" insertRows="0"/>
  <customSheetViews>
    <customSheetView guid="{21F2E024-704F-4E93-AC63-213755ECFFE0}" showPageBreaks="1" showGridLines="0" printArea="1" view="pageBreakPreview">
      <pane ySplit="6" topLeftCell="A7" activePane="bottomLeft" state="frozen"/>
      <selection pane="bottomLeft"/>
      <pageMargins left="0.70866141732283472" right="0.70866141732283472" top="0.74803149606299213" bottom="0.74803149606299213" header="0.31496062992125984" footer="0.31496062992125984"/>
      <pageSetup paperSize="9" scale="77" fitToHeight="10" orientation="portrait"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10">
    <mergeCell ref="J29:J30"/>
    <mergeCell ref="I2:K2"/>
    <mergeCell ref="I3:K3"/>
    <mergeCell ref="I4:K4"/>
    <mergeCell ref="A6:J6"/>
    <mergeCell ref="C20:D20"/>
    <mergeCell ref="C11:D11"/>
    <mergeCell ref="C17:D17"/>
    <mergeCell ref="C18:D18"/>
    <mergeCell ref="C19:D19"/>
  </mergeCells>
  <dataValidations disablePrompts="1" count="2">
    <dataValidation allowBlank="1" showInputMessage="1" showErrorMessage="1" prompt="Please enter Network / Sub-Network Name" sqref="I4:K4"/>
    <dataValidation allowBlank="1" showInputMessage="1" showErrorMessage="1" prompt="Please enter text" sqref="F11:F20"/>
  </dataValidations>
  <pageMargins left="0.70866141732283472" right="0.70866141732283472" top="0.74803149606299213" bottom="0.74803149606299213" header="0.31496062992125989" footer="0.31496062992125989"/>
  <pageSetup paperSize="9" scale="72" orientation="portrait" r:id="rId2"/>
  <headerFooter alignWithMargins="0">
    <oddHeader>&amp;CCommerce Commission Information Disclosure Template</oddHeader>
    <oddFooter>&amp;L&amp;F&amp;C&amp;P&amp;R&amp;A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sheetPr>
  <dimension ref="A1:M82"/>
  <sheetViews>
    <sheetView showGridLines="0" zoomScaleNormal="100" zoomScaleSheetLayoutView="100" workbookViewId="0">
      <selection activeCell="I16" sqref="I16"/>
    </sheetView>
  </sheetViews>
  <sheetFormatPr defaultColWidth="9.140625" defaultRowHeight="12.75" x14ac:dyDescent="0.2"/>
  <cols>
    <col min="1" max="1" width="4.85546875" style="9" customWidth="1"/>
    <col min="2" max="2" width="3.28515625" style="100" customWidth="1"/>
    <col min="3" max="3" width="6.140625" style="9" customWidth="1"/>
    <col min="4" max="4" width="2.28515625" style="11" customWidth="1"/>
    <col min="5" max="5" width="2.28515625" style="9" customWidth="1"/>
    <col min="6" max="6" width="77" style="11" customWidth="1"/>
    <col min="7" max="8" width="16.140625" style="9" customWidth="1"/>
    <col min="9" max="9" width="9" style="9" customWidth="1"/>
    <col min="10" max="10" width="16.140625" style="9" customWidth="1"/>
    <col min="11" max="11" width="2.7109375" style="9" customWidth="1"/>
    <col min="12" max="16384" width="9.140625" style="9"/>
  </cols>
  <sheetData>
    <row r="1" spans="1:13" ht="15" customHeight="1" x14ac:dyDescent="0.2">
      <c r="A1" s="555"/>
      <c r="B1" s="551"/>
      <c r="C1" s="551"/>
      <c r="D1" s="551"/>
      <c r="E1" s="551"/>
      <c r="F1" s="551"/>
      <c r="G1" s="551"/>
      <c r="H1" s="551"/>
      <c r="I1" s="551"/>
      <c r="J1" s="551"/>
      <c r="K1" s="550"/>
    </row>
    <row r="2" spans="1:13" ht="18" customHeight="1" x14ac:dyDescent="0.3">
      <c r="A2" s="76"/>
      <c r="B2" s="449"/>
      <c r="C2" s="449"/>
      <c r="D2" s="449"/>
      <c r="E2" s="449"/>
      <c r="F2" s="449"/>
      <c r="G2" s="94" t="s">
        <v>8</v>
      </c>
      <c r="H2" s="611" t="str">
        <f>IF(NOT(ISBLANK(CoverSheet!$C$8)),CoverSheet!$C$8,"")</f>
        <v>Alpine Energy Limited</v>
      </c>
      <c r="I2" s="611"/>
      <c r="J2" s="611"/>
      <c r="K2" s="50"/>
    </row>
    <row r="3" spans="1:13" ht="18" customHeight="1" x14ac:dyDescent="0.25">
      <c r="A3" s="76"/>
      <c r="B3" s="449"/>
      <c r="C3" s="449"/>
      <c r="D3" s="449"/>
      <c r="E3" s="449"/>
      <c r="F3" s="449"/>
      <c r="G3" s="94" t="s">
        <v>393</v>
      </c>
      <c r="H3" s="612">
        <f>IF(ISNUMBER(CoverSheet!$C$12),CoverSheet!$C$12,"")</f>
        <v>43190</v>
      </c>
      <c r="I3" s="612"/>
      <c r="J3" s="612"/>
      <c r="K3" s="50"/>
    </row>
    <row r="4" spans="1:13" ht="18" customHeight="1" x14ac:dyDescent="0.35">
      <c r="A4" s="136"/>
      <c r="B4" s="137"/>
      <c r="C4" s="449"/>
      <c r="D4" s="449"/>
      <c r="E4" s="449"/>
      <c r="F4" s="449"/>
      <c r="G4" s="94" t="s">
        <v>94</v>
      </c>
      <c r="H4" s="669"/>
      <c r="I4" s="669"/>
      <c r="J4" s="669"/>
      <c r="K4" s="50"/>
    </row>
    <row r="5" spans="1:13" s="134" customFormat="1" ht="21" x14ac:dyDescent="0.35">
      <c r="A5" s="255" t="s">
        <v>365</v>
      </c>
      <c r="B5" s="137"/>
      <c r="C5" s="449"/>
      <c r="D5" s="449"/>
      <c r="E5" s="449"/>
      <c r="F5" s="449"/>
      <c r="G5" s="92"/>
      <c r="H5" s="452"/>
      <c r="I5" s="92"/>
      <c r="J5" s="92"/>
      <c r="K5" s="50"/>
    </row>
    <row r="6" spans="1:13" s="184" customFormat="1" ht="48" customHeight="1" x14ac:dyDescent="0.2">
      <c r="A6" s="609" t="s">
        <v>571</v>
      </c>
      <c r="B6" s="613"/>
      <c r="C6" s="613"/>
      <c r="D6" s="613"/>
      <c r="E6" s="613"/>
      <c r="F6" s="613"/>
      <c r="G6" s="613"/>
      <c r="H6" s="613"/>
      <c r="I6" s="613"/>
      <c r="J6" s="613"/>
      <c r="K6" s="183"/>
    </row>
    <row r="7" spans="1:13" ht="15" customHeight="1" x14ac:dyDescent="0.2">
      <c r="A7" s="87" t="s">
        <v>623</v>
      </c>
      <c r="B7" s="452"/>
      <c r="C7" s="86"/>
      <c r="D7" s="449"/>
      <c r="E7" s="449"/>
      <c r="F7" s="449"/>
      <c r="G7" s="449"/>
      <c r="H7" s="449"/>
      <c r="I7" s="449"/>
      <c r="J7" s="449"/>
      <c r="K7" s="50"/>
    </row>
    <row r="8" spans="1:13" ht="30" customHeight="1" x14ac:dyDescent="0.3">
      <c r="A8" s="116">
        <v>8</v>
      </c>
      <c r="B8" s="200"/>
      <c r="C8" s="160" t="s">
        <v>366</v>
      </c>
      <c r="D8" s="172"/>
      <c r="E8" s="172"/>
      <c r="F8" s="172"/>
      <c r="G8" s="172"/>
      <c r="H8" s="172"/>
      <c r="I8" s="441"/>
      <c r="J8" s="441"/>
      <c r="K8" s="34"/>
    </row>
    <row r="9" spans="1:13" ht="26.25" x14ac:dyDescent="0.25">
      <c r="A9" s="116">
        <v>9</v>
      </c>
      <c r="B9" s="200"/>
      <c r="C9" s="203"/>
      <c r="D9" s="167" t="s">
        <v>464</v>
      </c>
      <c r="E9" s="168"/>
      <c r="F9" s="224"/>
      <c r="G9" s="226" t="s">
        <v>323</v>
      </c>
      <c r="H9" s="172"/>
      <c r="I9" s="441"/>
      <c r="J9" s="441"/>
      <c r="K9" s="34"/>
    </row>
    <row r="10" spans="1:13" ht="15" customHeight="1" x14ac:dyDescent="0.2">
      <c r="A10" s="116">
        <v>10</v>
      </c>
      <c r="B10" s="200"/>
      <c r="C10" s="204"/>
      <c r="D10" s="172"/>
      <c r="E10" s="168"/>
      <c r="F10" s="224" t="s">
        <v>412</v>
      </c>
      <c r="G10" s="3">
        <v>0</v>
      </c>
      <c r="H10" s="172"/>
      <c r="I10" s="441"/>
      <c r="J10" s="441"/>
      <c r="K10" s="34"/>
      <c r="M10" s="269"/>
    </row>
    <row r="11" spans="1:13" ht="15" customHeight="1" x14ac:dyDescent="0.2">
      <c r="A11" s="116">
        <v>11</v>
      </c>
      <c r="B11" s="200"/>
      <c r="C11" s="204"/>
      <c r="D11" s="172"/>
      <c r="E11" s="168"/>
      <c r="F11" s="224" t="s">
        <v>13</v>
      </c>
      <c r="G11" s="3">
        <v>203</v>
      </c>
      <c r="H11" s="172"/>
      <c r="I11" s="441"/>
      <c r="J11" s="441"/>
      <c r="K11" s="34"/>
    </row>
    <row r="12" spans="1:13" ht="15" customHeight="1" x14ac:dyDescent="0.2">
      <c r="A12" s="116">
        <v>12</v>
      </c>
      <c r="B12" s="200"/>
      <c r="C12" s="204"/>
      <c r="D12" s="172"/>
      <c r="E12" s="168"/>
      <c r="F12" s="224" t="s">
        <v>14</v>
      </c>
      <c r="G12" s="3">
        <v>139</v>
      </c>
      <c r="H12" s="172"/>
      <c r="I12" s="441"/>
      <c r="J12" s="441"/>
      <c r="K12" s="34"/>
    </row>
    <row r="13" spans="1:13" ht="15" customHeight="1" x14ac:dyDescent="0.2">
      <c r="A13" s="116">
        <v>13</v>
      </c>
      <c r="B13" s="200"/>
      <c r="C13" s="204"/>
      <c r="D13" s="172"/>
      <c r="E13" s="168"/>
      <c r="F13" s="224" t="s">
        <v>15</v>
      </c>
      <c r="G13" s="3">
        <v>1</v>
      </c>
      <c r="H13" s="172"/>
      <c r="I13" s="441"/>
      <c r="J13" s="441"/>
      <c r="K13" s="34"/>
    </row>
    <row r="14" spans="1:13" ht="15" customHeight="1" x14ac:dyDescent="0.2">
      <c r="A14" s="116">
        <v>14</v>
      </c>
      <c r="B14" s="200"/>
      <c r="C14" s="204"/>
      <c r="D14" s="172"/>
      <c r="E14" s="168"/>
      <c r="F14" s="224" t="s">
        <v>88</v>
      </c>
      <c r="G14" s="3">
        <v>0</v>
      </c>
      <c r="H14" s="172"/>
      <c r="I14" s="441"/>
      <c r="J14" s="441"/>
      <c r="K14" s="34"/>
    </row>
    <row r="15" spans="1:13" ht="15" customHeight="1" x14ac:dyDescent="0.2">
      <c r="A15" s="116">
        <v>15</v>
      </c>
      <c r="B15" s="200"/>
      <c r="C15" s="204"/>
      <c r="D15" s="172"/>
      <c r="E15" s="168"/>
      <c r="F15" s="224" t="s">
        <v>413</v>
      </c>
      <c r="G15" s="3">
        <v>0</v>
      </c>
      <c r="H15" s="172"/>
      <c r="I15" s="441"/>
      <c r="J15" s="441"/>
      <c r="K15" s="34"/>
    </row>
    <row r="16" spans="1:13" ht="15" customHeight="1" x14ac:dyDescent="0.2">
      <c r="A16" s="116">
        <v>16</v>
      </c>
      <c r="B16" s="200"/>
      <c r="C16" s="204"/>
      <c r="D16" s="172"/>
      <c r="E16" s="168"/>
      <c r="F16" s="224" t="s">
        <v>86</v>
      </c>
      <c r="G16" s="3">
        <v>0</v>
      </c>
      <c r="H16" s="172"/>
      <c r="I16" s="441"/>
      <c r="J16" s="441"/>
      <c r="K16" s="34"/>
    </row>
    <row r="17" spans="1:11" ht="15" customHeight="1" x14ac:dyDescent="0.2">
      <c r="A17" s="116">
        <v>17</v>
      </c>
      <c r="B17" s="200"/>
      <c r="C17" s="204"/>
      <c r="D17" s="172"/>
      <c r="E17" s="168"/>
      <c r="F17" s="224" t="s">
        <v>87</v>
      </c>
      <c r="G17" s="3">
        <v>0</v>
      </c>
      <c r="H17" s="172"/>
      <c r="I17" s="441"/>
      <c r="J17" s="441"/>
      <c r="K17" s="34"/>
    </row>
    <row r="18" spans="1:11" s="20" customFormat="1" ht="15" customHeight="1" x14ac:dyDescent="0.2">
      <c r="A18" s="116">
        <v>18</v>
      </c>
      <c r="B18" s="200"/>
      <c r="C18" s="204"/>
      <c r="D18" s="172"/>
      <c r="E18" s="168"/>
      <c r="F18" s="224" t="s">
        <v>85</v>
      </c>
      <c r="G18" s="3">
        <v>0</v>
      </c>
      <c r="H18" s="172"/>
      <c r="I18" s="441"/>
      <c r="J18" s="441"/>
      <c r="K18" s="34"/>
    </row>
    <row r="19" spans="1:11" ht="15" customHeight="1" x14ac:dyDescent="0.2">
      <c r="A19" s="116">
        <v>19</v>
      </c>
      <c r="B19" s="200"/>
      <c r="C19" s="204"/>
      <c r="D19" s="172"/>
      <c r="E19" s="168" t="s">
        <v>93</v>
      </c>
      <c r="F19" s="224"/>
      <c r="G19" s="455">
        <f>SUM(G10:G18)</f>
        <v>343</v>
      </c>
      <c r="H19" s="172"/>
      <c r="I19" s="441"/>
      <c r="J19" s="441"/>
      <c r="K19" s="34"/>
    </row>
    <row r="20" spans="1:11" s="123" customFormat="1" ht="15" customHeight="1" x14ac:dyDescent="0.2">
      <c r="A20" s="116">
        <v>20</v>
      </c>
      <c r="B20" s="200"/>
      <c r="C20" s="204"/>
      <c r="D20" s="172"/>
      <c r="E20" s="168"/>
      <c r="F20" s="224"/>
      <c r="G20" s="224"/>
      <c r="H20" s="172"/>
      <c r="I20" s="441"/>
      <c r="J20" s="441"/>
      <c r="K20" s="34"/>
    </row>
    <row r="21" spans="1:11" s="22" customFormat="1" ht="15" customHeight="1" x14ac:dyDescent="0.25">
      <c r="A21" s="116">
        <v>21</v>
      </c>
      <c r="B21" s="200"/>
      <c r="C21" s="204"/>
      <c r="D21" s="167" t="s">
        <v>410</v>
      </c>
      <c r="E21" s="207"/>
      <c r="F21" s="172"/>
      <c r="G21" s="226" t="s">
        <v>16</v>
      </c>
      <c r="H21" s="226" t="s">
        <v>17</v>
      </c>
      <c r="I21" s="441"/>
      <c r="J21" s="441"/>
      <c r="K21" s="34"/>
    </row>
    <row r="22" spans="1:11" ht="15" customHeight="1" x14ac:dyDescent="0.2">
      <c r="A22" s="116">
        <v>22</v>
      </c>
      <c r="B22" s="200"/>
      <c r="C22" s="204"/>
      <c r="D22" s="224"/>
      <c r="E22" s="168"/>
      <c r="F22" s="224" t="s">
        <v>411</v>
      </c>
      <c r="G22" s="3">
        <f>+G12-H22</f>
        <v>64</v>
      </c>
      <c r="H22" s="3">
        <v>75</v>
      </c>
      <c r="I22" s="441"/>
      <c r="J22" s="146"/>
      <c r="K22" s="34"/>
    </row>
    <row r="23" spans="1:11" ht="15" customHeight="1" x14ac:dyDescent="0.2">
      <c r="A23" s="116">
        <v>23</v>
      </c>
      <c r="B23" s="200"/>
      <c r="C23" s="172"/>
      <c r="D23" s="172"/>
      <c r="E23" s="172"/>
      <c r="F23" s="172"/>
      <c r="G23" s="172"/>
      <c r="H23" s="172"/>
      <c r="I23" s="441"/>
      <c r="J23" s="441"/>
      <c r="K23" s="34"/>
    </row>
    <row r="24" spans="1:11" s="22" customFormat="1" ht="19.5" customHeight="1" x14ac:dyDescent="0.25">
      <c r="A24" s="116">
        <v>24</v>
      </c>
      <c r="B24" s="200"/>
      <c r="C24" s="203"/>
      <c r="D24" s="167" t="s">
        <v>405</v>
      </c>
      <c r="E24" s="168"/>
      <c r="F24" s="224"/>
      <c r="G24" s="448" t="s">
        <v>324</v>
      </c>
      <c r="H24" s="448" t="s">
        <v>18</v>
      </c>
      <c r="I24" s="441"/>
      <c r="J24" s="146"/>
      <c r="K24" s="34"/>
    </row>
    <row r="25" spans="1:11" s="22" customFormat="1" ht="15" customHeight="1" x14ac:dyDescent="0.2">
      <c r="A25" s="116">
        <v>25</v>
      </c>
      <c r="B25" s="200"/>
      <c r="C25" s="204"/>
      <c r="D25" s="224"/>
      <c r="E25" s="168"/>
      <c r="F25" s="224" t="s">
        <v>412</v>
      </c>
      <c r="G25" s="339">
        <v>0</v>
      </c>
      <c r="H25" s="352">
        <v>0</v>
      </c>
      <c r="I25" s="441"/>
      <c r="J25" s="441"/>
      <c r="K25" s="34"/>
    </row>
    <row r="26" spans="1:11" s="22" customFormat="1" ht="15" customHeight="1" x14ac:dyDescent="0.2">
      <c r="A26" s="116">
        <v>26</v>
      </c>
      <c r="B26" s="200"/>
      <c r="C26" s="204"/>
      <c r="D26" s="224"/>
      <c r="E26" s="168"/>
      <c r="F26" s="224" t="s">
        <v>13</v>
      </c>
      <c r="G26" s="339">
        <f>SUM(G58:G63)</f>
        <v>0.19748294162244134</v>
      </c>
      <c r="H26" s="352">
        <v>59.790477634506132</v>
      </c>
      <c r="I26" s="441"/>
      <c r="J26" s="146"/>
      <c r="K26" s="34"/>
    </row>
    <row r="27" spans="1:11" s="22" customFormat="1" ht="15" customHeight="1" x14ac:dyDescent="0.2">
      <c r="A27" s="116">
        <v>27</v>
      </c>
      <c r="B27" s="200"/>
      <c r="C27" s="204"/>
      <c r="D27" s="224"/>
      <c r="E27" s="168"/>
      <c r="F27" s="224" t="s">
        <v>14</v>
      </c>
      <c r="G27" s="339">
        <f>SUM(G45:G53)</f>
        <v>0.9344725021245599</v>
      </c>
      <c r="H27" s="352">
        <v>85.868931009004584</v>
      </c>
      <c r="I27" s="441"/>
      <c r="J27" s="441"/>
      <c r="K27" s="34"/>
    </row>
    <row r="28" spans="1:11" s="22" customFormat="1" ht="15" customHeight="1" x14ac:dyDescent="0.2">
      <c r="A28" s="116">
        <v>28</v>
      </c>
      <c r="B28" s="200"/>
      <c r="C28" s="204"/>
      <c r="D28" s="224"/>
      <c r="E28" s="168"/>
      <c r="F28" s="224" t="s">
        <v>15</v>
      </c>
      <c r="G28" s="339">
        <v>2.1063493990530532E-2</v>
      </c>
      <c r="H28" s="352">
        <v>0.90573024145549452</v>
      </c>
      <c r="I28" s="441"/>
      <c r="J28" s="441"/>
      <c r="K28" s="34"/>
    </row>
    <row r="29" spans="1:11" s="22" customFormat="1" ht="15" customHeight="1" x14ac:dyDescent="0.2">
      <c r="A29" s="116">
        <v>29</v>
      </c>
      <c r="B29" s="200"/>
      <c r="C29" s="204"/>
      <c r="D29" s="224"/>
      <c r="E29" s="168"/>
      <c r="F29" s="224" t="s">
        <v>88</v>
      </c>
      <c r="G29" s="339">
        <v>0</v>
      </c>
      <c r="H29" s="352">
        <v>0</v>
      </c>
      <c r="I29" s="441"/>
      <c r="J29" s="441"/>
      <c r="K29" s="34"/>
    </row>
    <row r="30" spans="1:11" s="22" customFormat="1" ht="15" customHeight="1" x14ac:dyDescent="0.2">
      <c r="A30" s="116">
        <v>30</v>
      </c>
      <c r="B30" s="200"/>
      <c r="C30" s="204"/>
      <c r="D30" s="224"/>
      <c r="E30" s="168"/>
      <c r="F30" s="224" t="s">
        <v>413</v>
      </c>
      <c r="G30" s="339">
        <v>0</v>
      </c>
      <c r="H30" s="352">
        <v>0</v>
      </c>
      <c r="I30" s="441"/>
      <c r="J30" s="441"/>
      <c r="K30" s="34"/>
    </row>
    <row r="31" spans="1:11" s="22" customFormat="1" ht="15" customHeight="1" x14ac:dyDescent="0.2">
      <c r="A31" s="116">
        <v>31</v>
      </c>
      <c r="B31" s="200"/>
      <c r="C31" s="204"/>
      <c r="D31" s="224"/>
      <c r="E31" s="168"/>
      <c r="F31" s="224" t="s">
        <v>86</v>
      </c>
      <c r="G31" s="339">
        <v>0</v>
      </c>
      <c r="H31" s="352">
        <v>0</v>
      </c>
      <c r="I31" s="441"/>
      <c r="J31" s="441"/>
      <c r="K31" s="34"/>
    </row>
    <row r="32" spans="1:11" s="22" customFormat="1" ht="15" customHeight="1" x14ac:dyDescent="0.2">
      <c r="A32" s="116">
        <v>32</v>
      </c>
      <c r="B32" s="200"/>
      <c r="C32" s="204"/>
      <c r="D32" s="224"/>
      <c r="E32" s="168"/>
      <c r="F32" s="224" t="s">
        <v>87</v>
      </c>
      <c r="G32" s="339">
        <v>0</v>
      </c>
      <c r="H32" s="352">
        <v>0</v>
      </c>
      <c r="I32" s="441"/>
      <c r="J32" s="441"/>
      <c r="K32" s="34"/>
    </row>
    <row r="33" spans="1:11" s="22" customFormat="1" ht="15" customHeight="1" x14ac:dyDescent="0.2">
      <c r="A33" s="116">
        <v>33</v>
      </c>
      <c r="B33" s="200"/>
      <c r="C33" s="204"/>
      <c r="D33" s="224"/>
      <c r="E33" s="168"/>
      <c r="F33" s="224" t="s">
        <v>85</v>
      </c>
      <c r="G33" s="339">
        <v>0</v>
      </c>
      <c r="H33" s="352">
        <v>0</v>
      </c>
      <c r="I33" s="441"/>
      <c r="J33" s="441"/>
      <c r="K33" s="34"/>
    </row>
    <row r="34" spans="1:11" s="22" customFormat="1" ht="15" customHeight="1" x14ac:dyDescent="0.2">
      <c r="A34" s="116">
        <v>34</v>
      </c>
      <c r="B34" s="200"/>
      <c r="C34" s="204"/>
      <c r="D34" s="224"/>
      <c r="E34" s="168" t="s">
        <v>93</v>
      </c>
      <c r="F34" s="224"/>
      <c r="G34" s="477">
        <f>SUM(G25:G33)</f>
        <v>1.1530189377375317</v>
      </c>
      <c r="H34" s="478">
        <f>SUM(H25:H33)</f>
        <v>146.56513888496622</v>
      </c>
      <c r="I34" s="441"/>
      <c r="J34" s="441"/>
      <c r="K34" s="34"/>
    </row>
    <row r="35" spans="1:11" s="123" customFormat="1" ht="15" customHeight="1" x14ac:dyDescent="0.2">
      <c r="A35" s="116">
        <v>35</v>
      </c>
      <c r="B35" s="200"/>
      <c r="C35" s="204"/>
      <c r="D35" s="224"/>
      <c r="E35" s="168"/>
      <c r="F35" s="224"/>
      <c r="G35" s="224"/>
      <c r="H35" s="224"/>
      <c r="I35" s="441"/>
      <c r="J35" s="441"/>
      <c r="K35" s="34"/>
    </row>
    <row r="36" spans="1:11" s="123" customFormat="1" ht="41.25" customHeight="1" x14ac:dyDescent="0.25">
      <c r="A36" s="116">
        <v>36</v>
      </c>
      <c r="B36" s="200"/>
      <c r="C36" s="203"/>
      <c r="D36" s="167" t="s">
        <v>575</v>
      </c>
      <c r="E36" s="168"/>
      <c r="F36" s="224"/>
      <c r="G36" s="226" t="s">
        <v>407</v>
      </c>
      <c r="H36" s="226" t="s">
        <v>408</v>
      </c>
      <c r="I36" s="441"/>
      <c r="J36" s="441"/>
      <c r="K36" s="34"/>
    </row>
    <row r="37" spans="1:11" s="123" customFormat="1" ht="15" customHeight="1" x14ac:dyDescent="0.2">
      <c r="A37" s="116">
        <v>37</v>
      </c>
      <c r="B37" s="200"/>
      <c r="C37" s="204"/>
      <c r="D37" s="224"/>
      <c r="E37" s="168"/>
      <c r="F37" s="224" t="s">
        <v>406</v>
      </c>
      <c r="G37" s="339">
        <v>1.1146929492039424</v>
      </c>
      <c r="H37" s="352">
        <v>145.65940864351077</v>
      </c>
      <c r="I37" s="441"/>
      <c r="J37" s="441"/>
      <c r="K37" s="34"/>
    </row>
    <row r="38" spans="1:11" ht="30" customHeight="1" x14ac:dyDescent="0.2">
      <c r="A38" s="116">
        <v>38</v>
      </c>
      <c r="B38" s="200"/>
      <c r="C38" s="172"/>
      <c r="D38" s="224"/>
      <c r="E38" s="168"/>
      <c r="F38" s="224"/>
      <c r="G38" s="172"/>
      <c r="H38" s="172"/>
      <c r="I38" s="441"/>
      <c r="J38" s="441"/>
      <c r="K38" s="34"/>
    </row>
    <row r="39" spans="1:11" ht="26.25" x14ac:dyDescent="0.25">
      <c r="A39" s="116">
        <v>39</v>
      </c>
      <c r="B39" s="200"/>
      <c r="C39" s="203"/>
      <c r="D39" s="167" t="s">
        <v>482</v>
      </c>
      <c r="E39" s="168"/>
      <c r="F39" s="224"/>
      <c r="G39" s="226" t="s">
        <v>491</v>
      </c>
      <c r="H39" s="226" t="s">
        <v>492</v>
      </c>
      <c r="I39" s="441"/>
      <c r="J39" s="146"/>
      <c r="K39" s="34"/>
    </row>
    <row r="40" spans="1:11" ht="15" customHeight="1" x14ac:dyDescent="0.2">
      <c r="A40" s="116">
        <v>40</v>
      </c>
      <c r="B40" s="200"/>
      <c r="C40" s="204"/>
      <c r="D40" s="224"/>
      <c r="E40" s="168"/>
      <c r="F40" s="224" t="s">
        <v>576</v>
      </c>
      <c r="G40" s="339">
        <v>1.51</v>
      </c>
      <c r="H40" s="352">
        <v>154.16</v>
      </c>
      <c r="I40" s="441"/>
      <c r="J40" s="146"/>
      <c r="K40" s="34"/>
    </row>
    <row r="41" spans="1:11" s="123" customFormat="1" ht="15" customHeight="1" x14ac:dyDescent="0.2">
      <c r="A41" s="116">
        <v>41</v>
      </c>
      <c r="B41" s="200"/>
      <c r="C41" s="204"/>
      <c r="D41" s="224"/>
      <c r="E41" s="168"/>
      <c r="F41" s="186" t="s">
        <v>409</v>
      </c>
      <c r="G41" s="169"/>
      <c r="H41" s="172"/>
      <c r="I41" s="441"/>
      <c r="J41" s="441"/>
      <c r="K41" s="34"/>
    </row>
    <row r="42" spans="1:11" s="29" customFormat="1" ht="30" customHeight="1" x14ac:dyDescent="0.3">
      <c r="A42" s="116">
        <v>42</v>
      </c>
      <c r="B42" s="200"/>
      <c r="C42" s="160" t="s">
        <v>367</v>
      </c>
      <c r="D42" s="172"/>
      <c r="E42" s="172"/>
      <c r="F42" s="172"/>
      <c r="G42" s="172"/>
      <c r="H42" s="172"/>
      <c r="I42" s="441"/>
      <c r="J42" s="441"/>
      <c r="K42" s="34"/>
    </row>
    <row r="43" spans="1:11" s="22" customFormat="1" x14ac:dyDescent="0.2">
      <c r="A43" s="116">
        <v>43</v>
      </c>
      <c r="B43" s="200"/>
      <c r="C43" s="172"/>
      <c r="D43" s="172"/>
      <c r="E43" s="172"/>
      <c r="F43" s="172"/>
      <c r="G43" s="172"/>
      <c r="H43" s="172"/>
      <c r="I43" s="441"/>
      <c r="J43" s="441"/>
      <c r="K43" s="34"/>
    </row>
    <row r="44" spans="1:11" s="20" customFormat="1" ht="22.5" customHeight="1" x14ac:dyDescent="0.25">
      <c r="A44" s="116">
        <v>44</v>
      </c>
      <c r="B44" s="200"/>
      <c r="C44" s="172"/>
      <c r="D44" s="153" t="s">
        <v>330</v>
      </c>
      <c r="E44" s="153"/>
      <c r="F44" s="224"/>
      <c r="G44" s="226" t="s">
        <v>324</v>
      </c>
      <c r="H44" s="226" t="s">
        <v>18</v>
      </c>
      <c r="I44" s="441"/>
      <c r="J44" s="441"/>
      <c r="K44" s="34"/>
    </row>
    <row r="45" spans="1:11" s="22" customFormat="1" ht="15" customHeight="1" x14ac:dyDescent="0.2">
      <c r="A45" s="116">
        <v>45</v>
      </c>
      <c r="B45" s="200"/>
      <c r="C45" s="204"/>
      <c r="D45" s="172"/>
      <c r="E45" s="168"/>
      <c r="F45" s="224" t="s">
        <v>72</v>
      </c>
      <c r="G45" s="599">
        <v>7.0019424547772241E-2</v>
      </c>
      <c r="H45" s="600">
        <v>3.0866003806698985</v>
      </c>
      <c r="I45" s="441"/>
      <c r="J45" s="441"/>
      <c r="K45" s="34"/>
    </row>
    <row r="46" spans="1:11" s="22" customFormat="1" ht="15" customHeight="1" x14ac:dyDescent="0.2">
      <c r="A46" s="116">
        <v>46</v>
      </c>
      <c r="B46" s="200"/>
      <c r="C46" s="204"/>
      <c r="D46" s="172"/>
      <c r="E46" s="168"/>
      <c r="F46" s="224" t="s">
        <v>325</v>
      </c>
      <c r="G46" s="599">
        <v>1.0622799562947675E-2</v>
      </c>
      <c r="H46" s="600">
        <v>0.99828047005757958</v>
      </c>
      <c r="I46" s="441"/>
      <c r="J46" s="441"/>
      <c r="K46" s="34"/>
    </row>
    <row r="47" spans="1:11" s="22" customFormat="1" ht="15" customHeight="1" x14ac:dyDescent="0.2">
      <c r="A47" s="116">
        <v>47</v>
      </c>
      <c r="B47" s="200"/>
      <c r="C47" s="204"/>
      <c r="D47" s="172"/>
      <c r="E47" s="168"/>
      <c r="F47" s="224" t="s">
        <v>326</v>
      </c>
      <c r="G47" s="599">
        <v>0.15096515721743353</v>
      </c>
      <c r="H47" s="600">
        <v>22.929685970527796</v>
      </c>
      <c r="I47" s="441"/>
      <c r="J47" s="441"/>
      <c r="K47" s="34"/>
    </row>
    <row r="48" spans="1:11" s="22" customFormat="1" ht="15" customHeight="1" x14ac:dyDescent="0.2">
      <c r="A48" s="116">
        <v>48</v>
      </c>
      <c r="B48" s="200"/>
      <c r="C48" s="204"/>
      <c r="D48" s="172"/>
      <c r="E48" s="168"/>
      <c r="F48" s="224" t="s">
        <v>327</v>
      </c>
      <c r="G48" s="599">
        <v>3.945611266237708E-3</v>
      </c>
      <c r="H48" s="600">
        <v>2.0222677334933996</v>
      </c>
      <c r="I48" s="441"/>
      <c r="J48" s="441"/>
      <c r="K48" s="34"/>
    </row>
    <row r="49" spans="1:11" s="22" customFormat="1" ht="15" customHeight="1" x14ac:dyDescent="0.2">
      <c r="A49" s="116">
        <v>49</v>
      </c>
      <c r="B49" s="200"/>
      <c r="C49" s="204"/>
      <c r="D49" s="172"/>
      <c r="E49" s="168"/>
      <c r="F49" s="224" t="s">
        <v>328</v>
      </c>
      <c r="G49" s="599">
        <v>0.12723078790821901</v>
      </c>
      <c r="H49" s="600">
        <v>12.126554884646211</v>
      </c>
      <c r="I49" s="441"/>
      <c r="J49" s="441"/>
      <c r="K49" s="34"/>
    </row>
    <row r="50" spans="1:11" s="29" customFormat="1" ht="15" customHeight="1" x14ac:dyDescent="0.2">
      <c r="A50" s="116">
        <v>50</v>
      </c>
      <c r="B50" s="200"/>
      <c r="C50" s="204"/>
      <c r="D50" s="172"/>
      <c r="E50" s="168"/>
      <c r="F50" s="224" t="s">
        <v>372</v>
      </c>
      <c r="G50" s="599">
        <v>0.23758649993929828</v>
      </c>
      <c r="H50" s="600">
        <v>17.585469784317546</v>
      </c>
      <c r="I50" s="441"/>
      <c r="J50" s="441"/>
      <c r="K50" s="34"/>
    </row>
    <row r="51" spans="1:11" s="22" customFormat="1" ht="15" customHeight="1" x14ac:dyDescent="0.2">
      <c r="A51" s="116">
        <v>51</v>
      </c>
      <c r="B51" s="200"/>
      <c r="C51" s="204"/>
      <c r="D51" s="172"/>
      <c r="E51" s="168"/>
      <c r="F51" s="224" t="s">
        <v>73</v>
      </c>
      <c r="G51" s="599">
        <v>7.2538545586985553E-2</v>
      </c>
      <c r="H51" s="600">
        <v>1.6234553996922569</v>
      </c>
      <c r="I51" s="441"/>
      <c r="J51" s="441"/>
      <c r="K51" s="34"/>
    </row>
    <row r="52" spans="1:11" s="22" customFormat="1" ht="15" customHeight="1" x14ac:dyDescent="0.2">
      <c r="A52" s="116">
        <v>52</v>
      </c>
      <c r="B52" s="200"/>
      <c r="C52" s="204"/>
      <c r="D52" s="172"/>
      <c r="E52" s="168"/>
      <c r="F52" s="224" t="s">
        <v>329</v>
      </c>
      <c r="G52" s="599">
        <v>0.15563918902513052</v>
      </c>
      <c r="H52" s="600">
        <v>17.468152786845899</v>
      </c>
      <c r="I52" s="441"/>
      <c r="J52" s="441"/>
      <c r="K52" s="34"/>
    </row>
    <row r="53" spans="1:11" s="22" customFormat="1" ht="15" customHeight="1" x14ac:dyDescent="0.2">
      <c r="A53" s="116">
        <v>53</v>
      </c>
      <c r="B53" s="200"/>
      <c r="C53" s="204"/>
      <c r="D53" s="172"/>
      <c r="E53" s="168"/>
      <c r="F53" s="224" t="s">
        <v>444</v>
      </c>
      <c r="G53" s="599">
        <v>0.10592448707053539</v>
      </c>
      <c r="H53" s="600">
        <v>8.0284635987540032</v>
      </c>
      <c r="I53" s="441"/>
      <c r="J53" s="441"/>
      <c r="K53" s="34"/>
    </row>
    <row r="54" spans="1:11" s="135" customFormat="1" ht="15" customHeight="1" x14ac:dyDescent="0.2">
      <c r="A54" s="116">
        <v>54</v>
      </c>
      <c r="B54" s="200"/>
      <c r="C54" s="204"/>
      <c r="D54" s="172"/>
      <c r="E54" s="168"/>
      <c r="F54" s="224"/>
      <c r="G54" s="224"/>
      <c r="H54" s="224"/>
      <c r="I54" s="224"/>
      <c r="J54" s="441"/>
      <c r="K54" s="34"/>
    </row>
    <row r="55" spans="1:11" s="29" customFormat="1" ht="30" customHeight="1" x14ac:dyDescent="0.3">
      <c r="A55" s="116">
        <v>55</v>
      </c>
      <c r="B55" s="200"/>
      <c r="C55" s="160" t="s">
        <v>368</v>
      </c>
      <c r="D55" s="172"/>
      <c r="E55" s="168"/>
      <c r="F55" s="172"/>
      <c r="G55" s="172"/>
      <c r="H55" s="172"/>
      <c r="I55" s="172"/>
      <c r="J55" s="172"/>
      <c r="K55" s="34"/>
    </row>
    <row r="56" spans="1:11" s="22" customFormat="1" x14ac:dyDescent="0.2">
      <c r="A56" s="116">
        <v>56</v>
      </c>
      <c r="B56" s="200"/>
      <c r="C56" s="172"/>
      <c r="D56" s="172"/>
      <c r="E56" s="168"/>
      <c r="F56" s="172"/>
      <c r="G56" s="172"/>
      <c r="H56" s="172"/>
      <c r="I56" s="172"/>
      <c r="J56" s="172"/>
      <c r="K56" s="34"/>
    </row>
    <row r="57" spans="1:11" s="22" customFormat="1" ht="17.25" customHeight="1" x14ac:dyDescent="0.25">
      <c r="A57" s="116">
        <v>57</v>
      </c>
      <c r="B57" s="200"/>
      <c r="C57" s="224"/>
      <c r="D57" s="153" t="s">
        <v>331</v>
      </c>
      <c r="E57" s="153"/>
      <c r="F57" s="224"/>
      <c r="G57" s="226" t="s">
        <v>324</v>
      </c>
      <c r="H57" s="226" t="s">
        <v>18</v>
      </c>
      <c r="I57" s="172"/>
      <c r="J57" s="172"/>
      <c r="K57" s="34"/>
    </row>
    <row r="58" spans="1:11" s="22" customFormat="1" ht="15" customHeight="1" x14ac:dyDescent="0.2">
      <c r="A58" s="116">
        <v>58</v>
      </c>
      <c r="B58" s="200"/>
      <c r="C58" s="224"/>
      <c r="D58" s="172"/>
      <c r="E58" s="168"/>
      <c r="F58" s="224" t="s">
        <v>415</v>
      </c>
      <c r="G58" s="599">
        <v>0</v>
      </c>
      <c r="H58" s="600">
        <v>0</v>
      </c>
      <c r="I58" s="172"/>
      <c r="J58" s="172"/>
      <c r="K58" s="34"/>
    </row>
    <row r="59" spans="1:11" s="22" customFormat="1" ht="15" customHeight="1" x14ac:dyDescent="0.2">
      <c r="A59" s="116">
        <v>59</v>
      </c>
      <c r="B59" s="200"/>
      <c r="C59" s="224"/>
      <c r="D59" s="172"/>
      <c r="E59" s="168"/>
      <c r="F59" s="224" t="s">
        <v>442</v>
      </c>
      <c r="G59" s="599">
        <v>0</v>
      </c>
      <c r="H59" s="600">
        <v>0</v>
      </c>
      <c r="I59" s="172"/>
      <c r="J59" s="172"/>
      <c r="K59" s="34"/>
    </row>
    <row r="60" spans="1:11" s="22" customFormat="1" ht="15" customHeight="1" x14ac:dyDescent="0.2">
      <c r="A60" s="116">
        <v>60</v>
      </c>
      <c r="B60" s="200"/>
      <c r="C60" s="224"/>
      <c r="D60" s="172"/>
      <c r="E60" s="168"/>
      <c r="F60" s="224" t="s">
        <v>335</v>
      </c>
      <c r="G60" s="599">
        <v>0</v>
      </c>
      <c r="H60" s="600">
        <v>0</v>
      </c>
      <c r="I60" s="172"/>
      <c r="J60" s="172"/>
      <c r="K60" s="34"/>
    </row>
    <row r="61" spans="1:11" s="22" customFormat="1" ht="15" customHeight="1" x14ac:dyDescent="0.2">
      <c r="A61" s="116">
        <v>61</v>
      </c>
      <c r="B61" s="200"/>
      <c r="C61" s="224"/>
      <c r="D61" s="172"/>
      <c r="E61" s="168"/>
      <c r="F61" s="294" t="s">
        <v>672</v>
      </c>
      <c r="G61" s="599">
        <v>0.19308567096285073</v>
      </c>
      <c r="H61" s="600">
        <v>57.621638471294013</v>
      </c>
      <c r="I61" s="172"/>
      <c r="J61" s="172"/>
      <c r="K61" s="34"/>
    </row>
    <row r="62" spans="1:11" s="22" customFormat="1" ht="15" customHeight="1" x14ac:dyDescent="0.2">
      <c r="A62" s="116">
        <v>62</v>
      </c>
      <c r="B62" s="200"/>
      <c r="C62" s="224"/>
      <c r="D62" s="172"/>
      <c r="E62" s="168"/>
      <c r="F62" s="294" t="s">
        <v>673</v>
      </c>
      <c r="G62" s="599">
        <v>4.3972706595905992E-3</v>
      </c>
      <c r="H62" s="600">
        <v>2.1688391632121142</v>
      </c>
      <c r="I62" s="172"/>
      <c r="J62" s="172"/>
      <c r="K62" s="34"/>
    </row>
    <row r="63" spans="1:11" s="22" customFormat="1" ht="15" customHeight="1" x14ac:dyDescent="0.2">
      <c r="A63" s="116">
        <v>63</v>
      </c>
      <c r="B63" s="200"/>
      <c r="C63" s="224"/>
      <c r="D63" s="172"/>
      <c r="E63" s="168"/>
      <c r="F63" s="294" t="s">
        <v>674</v>
      </c>
      <c r="G63" s="599">
        <v>0</v>
      </c>
      <c r="H63" s="600">
        <v>0</v>
      </c>
      <c r="I63" s="172"/>
      <c r="J63" s="172"/>
      <c r="K63" s="34"/>
    </row>
    <row r="64" spans="1:11" s="29" customFormat="1" ht="30" customHeight="1" x14ac:dyDescent="0.3">
      <c r="A64" s="116">
        <v>64</v>
      </c>
      <c r="B64" s="200"/>
      <c r="C64" s="160" t="s">
        <v>369</v>
      </c>
      <c r="D64" s="172"/>
      <c r="E64" s="168"/>
      <c r="F64" s="172"/>
      <c r="G64" s="172"/>
      <c r="H64" s="172"/>
      <c r="I64" s="172"/>
      <c r="J64" s="172"/>
      <c r="K64" s="34"/>
    </row>
    <row r="65" spans="1:11" s="22" customFormat="1" x14ac:dyDescent="0.2">
      <c r="A65" s="116">
        <v>65</v>
      </c>
      <c r="B65" s="200"/>
      <c r="C65" s="172"/>
      <c r="D65" s="172"/>
      <c r="E65" s="168"/>
      <c r="F65" s="172"/>
      <c r="G65" s="226"/>
      <c r="H65" s="226"/>
      <c r="I65" s="172"/>
      <c r="J65" s="172"/>
      <c r="K65" s="34"/>
    </row>
    <row r="66" spans="1:11" s="22" customFormat="1" ht="20.25" customHeight="1" x14ac:dyDescent="0.25">
      <c r="A66" s="116">
        <v>66</v>
      </c>
      <c r="B66" s="200"/>
      <c r="C66" s="224"/>
      <c r="D66" s="153" t="s">
        <v>331</v>
      </c>
      <c r="E66" s="153"/>
      <c r="F66" s="224"/>
      <c r="G66" s="226" t="s">
        <v>324</v>
      </c>
      <c r="H66" s="226" t="s">
        <v>18</v>
      </c>
      <c r="I66" s="172"/>
      <c r="J66" s="172"/>
      <c r="K66" s="34"/>
    </row>
    <row r="67" spans="1:11" s="22" customFormat="1" ht="15" customHeight="1" x14ac:dyDescent="0.2">
      <c r="A67" s="116">
        <v>67</v>
      </c>
      <c r="B67" s="200"/>
      <c r="C67" s="224"/>
      <c r="D67" s="224"/>
      <c r="E67" s="168"/>
      <c r="F67" s="224" t="s">
        <v>415</v>
      </c>
      <c r="G67" s="599">
        <v>0.35445034116755098</v>
      </c>
      <c r="H67" s="600">
        <v>25.401108508128075</v>
      </c>
      <c r="I67" s="172"/>
      <c r="J67" s="172"/>
      <c r="K67" s="34"/>
    </row>
    <row r="68" spans="1:11" s="22" customFormat="1" ht="15" customHeight="1" x14ac:dyDescent="0.2">
      <c r="A68" s="116">
        <v>68</v>
      </c>
      <c r="B68" s="200"/>
      <c r="C68" s="224"/>
      <c r="D68" s="224"/>
      <c r="E68" s="168"/>
      <c r="F68" s="224" t="s">
        <v>442</v>
      </c>
      <c r="G68" s="599">
        <v>0</v>
      </c>
      <c r="H68" s="600">
        <v>0</v>
      </c>
      <c r="I68" s="172"/>
      <c r="J68" s="172"/>
      <c r="K68" s="34"/>
    </row>
    <row r="69" spans="1:11" s="22" customFormat="1" ht="15" customHeight="1" x14ac:dyDescent="0.2">
      <c r="A69" s="116">
        <v>69</v>
      </c>
      <c r="B69" s="200"/>
      <c r="C69" s="224"/>
      <c r="D69" s="224"/>
      <c r="E69" s="168"/>
      <c r="F69" s="224" t="s">
        <v>335</v>
      </c>
      <c r="G69" s="599">
        <v>1.7558756633813496E-2</v>
      </c>
      <c r="H69" s="600">
        <v>1.0602862075514425</v>
      </c>
      <c r="I69" s="172"/>
      <c r="J69" s="172"/>
      <c r="K69" s="34"/>
    </row>
    <row r="70" spans="1:11" s="29" customFormat="1" ht="15" customHeight="1" x14ac:dyDescent="0.2">
      <c r="A70" s="116">
        <v>70</v>
      </c>
      <c r="B70" s="200"/>
      <c r="C70" s="224"/>
      <c r="D70" s="224"/>
      <c r="E70" s="168"/>
      <c r="F70" s="294" t="s">
        <v>672</v>
      </c>
      <c r="G70" s="599">
        <v>0.4884003032600458</v>
      </c>
      <c r="H70" s="600">
        <v>51.805525781827996</v>
      </c>
      <c r="I70" s="172"/>
      <c r="J70" s="172"/>
      <c r="K70" s="34"/>
    </row>
    <row r="71" spans="1:11" s="22" customFormat="1" ht="15" customHeight="1" x14ac:dyDescent="0.2">
      <c r="A71" s="116">
        <v>71</v>
      </c>
      <c r="B71" s="200"/>
      <c r="C71" s="224"/>
      <c r="D71" s="224"/>
      <c r="E71" s="168"/>
      <c r="F71" s="294" t="s">
        <v>673</v>
      </c>
      <c r="G71" s="599">
        <v>6.3078089461713421E-2</v>
      </c>
      <c r="H71" s="600">
        <v>6.6758518779338072</v>
      </c>
      <c r="I71" s="172"/>
      <c r="J71" s="172"/>
      <c r="K71" s="34"/>
    </row>
    <row r="72" spans="1:11" s="22" customFormat="1" ht="15" customHeight="1" x14ac:dyDescent="0.2">
      <c r="A72" s="116">
        <v>72</v>
      </c>
      <c r="B72" s="200"/>
      <c r="C72" s="224"/>
      <c r="D72" s="224"/>
      <c r="E72" s="168"/>
      <c r="F72" s="294" t="s">
        <v>674</v>
      </c>
      <c r="G72" s="599">
        <v>1.0219863532979528E-2</v>
      </c>
      <c r="H72" s="600">
        <v>0.92615863356326655</v>
      </c>
      <c r="I72" s="172"/>
      <c r="J72" s="172"/>
      <c r="K72" s="34"/>
    </row>
    <row r="73" spans="1:11" s="29" customFormat="1" ht="30" customHeight="1" x14ac:dyDescent="0.3">
      <c r="A73" s="116">
        <v>73</v>
      </c>
      <c r="B73" s="200"/>
      <c r="C73" s="160" t="s">
        <v>370</v>
      </c>
      <c r="D73" s="172"/>
      <c r="E73" s="168"/>
      <c r="F73" s="172"/>
      <c r="G73" s="172"/>
      <c r="H73" s="172"/>
      <c r="I73" s="172"/>
      <c r="J73" s="172"/>
      <c r="K73" s="34"/>
    </row>
    <row r="74" spans="1:11" s="22" customFormat="1" ht="45" customHeight="1" x14ac:dyDescent="0.25">
      <c r="A74" s="116">
        <v>74</v>
      </c>
      <c r="B74" s="200"/>
      <c r="C74" s="224"/>
      <c r="D74" s="153" t="s">
        <v>331</v>
      </c>
      <c r="E74" s="153"/>
      <c r="F74" s="224"/>
      <c r="G74" s="226" t="s">
        <v>332</v>
      </c>
      <c r="H74" s="226" t="s">
        <v>414</v>
      </c>
      <c r="I74" s="172"/>
      <c r="J74" s="226" t="s">
        <v>483</v>
      </c>
      <c r="K74" s="34"/>
    </row>
    <row r="75" spans="1:11" s="22" customFormat="1" ht="15" customHeight="1" x14ac:dyDescent="0.2">
      <c r="A75" s="116">
        <v>75</v>
      </c>
      <c r="B75" s="200"/>
      <c r="C75" s="224"/>
      <c r="D75" s="224"/>
      <c r="E75" s="168"/>
      <c r="F75" s="224" t="s">
        <v>415</v>
      </c>
      <c r="G75" s="581">
        <v>11</v>
      </c>
      <c r="H75" s="3">
        <v>251</v>
      </c>
      <c r="I75" s="172"/>
      <c r="J75" s="340">
        <f>IF(H75&gt;0,100*G75/H75,0)</f>
        <v>4.382470119521912</v>
      </c>
      <c r="K75" s="34"/>
    </row>
    <row r="76" spans="1:11" s="22" customFormat="1" ht="15" customHeight="1" x14ac:dyDescent="0.2">
      <c r="A76" s="116">
        <v>76</v>
      </c>
      <c r="B76" s="200"/>
      <c r="C76" s="224"/>
      <c r="D76" s="224"/>
      <c r="E76" s="168"/>
      <c r="F76" s="224" t="s">
        <v>442</v>
      </c>
      <c r="G76" s="581">
        <v>0</v>
      </c>
      <c r="H76" s="3">
        <v>30</v>
      </c>
      <c r="I76" s="172"/>
      <c r="J76" s="340">
        <f>IF(H76&gt;0,100*G76/H76,0)</f>
        <v>0</v>
      </c>
      <c r="K76" s="34"/>
    </row>
    <row r="77" spans="1:11" s="22" customFormat="1" ht="15" customHeight="1" x14ac:dyDescent="0.2">
      <c r="A77" s="116">
        <v>77</v>
      </c>
      <c r="B77" s="200"/>
      <c r="C77" s="224"/>
      <c r="D77" s="224"/>
      <c r="E77" s="168"/>
      <c r="F77" s="224" t="s">
        <v>335</v>
      </c>
      <c r="G77" s="581">
        <v>1</v>
      </c>
      <c r="H77" s="451"/>
      <c r="I77" s="172"/>
      <c r="J77" s="441"/>
      <c r="K77" s="34"/>
    </row>
    <row r="78" spans="1:11" s="22" customFormat="1" ht="15" customHeight="1" x14ac:dyDescent="0.2">
      <c r="A78" s="116">
        <v>78</v>
      </c>
      <c r="B78" s="200"/>
      <c r="C78" s="224"/>
      <c r="D78" s="224"/>
      <c r="E78" s="168"/>
      <c r="F78" s="294" t="s">
        <v>672</v>
      </c>
      <c r="G78" s="581">
        <v>123</v>
      </c>
      <c r="H78" s="3">
        <v>2908</v>
      </c>
      <c r="I78" s="172"/>
      <c r="J78" s="340">
        <f>IF(H78&gt;0,100*G78/H78,0)</f>
        <v>4.2297111416781297</v>
      </c>
      <c r="K78" s="34"/>
    </row>
    <row r="79" spans="1:11" s="22" customFormat="1" ht="15" customHeight="1" x14ac:dyDescent="0.2">
      <c r="A79" s="116">
        <v>79</v>
      </c>
      <c r="B79" s="200"/>
      <c r="C79" s="224"/>
      <c r="D79" s="224"/>
      <c r="E79" s="168"/>
      <c r="F79" s="294" t="s">
        <v>673</v>
      </c>
      <c r="G79" s="581">
        <v>2</v>
      </c>
      <c r="H79" s="3">
        <v>394</v>
      </c>
      <c r="I79" s="172"/>
      <c r="J79" s="340">
        <f>IF(H79&gt;0,100*G79/H79,0)</f>
        <v>0.50761421319796951</v>
      </c>
      <c r="K79" s="34"/>
    </row>
    <row r="80" spans="1:11" s="22" customFormat="1" ht="15" customHeight="1" thickBot="1" x14ac:dyDescent="0.25">
      <c r="A80" s="116">
        <v>80</v>
      </c>
      <c r="B80" s="200"/>
      <c r="C80" s="224"/>
      <c r="D80" s="224"/>
      <c r="E80" s="168"/>
      <c r="F80" s="294" t="s">
        <v>674</v>
      </c>
      <c r="G80" s="581">
        <v>2</v>
      </c>
      <c r="H80" s="451"/>
      <c r="I80" s="172"/>
      <c r="J80" s="172"/>
      <c r="K80" s="34"/>
    </row>
    <row r="81" spans="1:11" s="22" customFormat="1" ht="15" customHeight="1" thickBot="1" x14ac:dyDescent="0.25">
      <c r="A81" s="116">
        <v>81</v>
      </c>
      <c r="B81" s="200"/>
      <c r="C81" s="224"/>
      <c r="D81" s="224"/>
      <c r="E81" s="120" t="s">
        <v>3</v>
      </c>
      <c r="F81" s="294"/>
      <c r="G81" s="427">
        <f>SUM(G75:G80)</f>
        <v>139</v>
      </c>
      <c r="H81" s="451"/>
      <c r="I81" s="172"/>
      <c r="J81" s="172"/>
      <c r="K81" s="34"/>
    </row>
    <row r="82" spans="1:11" x14ac:dyDescent="0.2">
      <c r="A82" s="39"/>
      <c r="B82" s="101"/>
      <c r="C82" s="41"/>
      <c r="D82" s="41"/>
      <c r="E82" s="59"/>
      <c r="F82" s="41"/>
      <c r="G82" s="41"/>
      <c r="H82" s="41"/>
      <c r="I82" s="41"/>
      <c r="J82" s="41"/>
      <c r="K82" s="47"/>
    </row>
  </sheetData>
  <sheetProtection formatRows="0" insertRows="0"/>
  <customSheetViews>
    <customSheetView guid="{21F2E024-704F-4E93-AC63-213755ECFFE0}" scale="55" showPageBreaks="1" showGridLines="0" fitToPage="1" view="pageBreakPreview">
      <pane ySplit="6" topLeftCell="A7" activePane="bottomLeft" state="frozen"/>
      <selection pane="bottomLeft"/>
      <pageMargins left="0.70866141732283472" right="0.70866141732283472" top="0.74803149606299213" bottom="0.74803149606299213" header="0.31496062992125989" footer="0.31496062992125989"/>
      <pageSetup paperSize="9" scale="52" fitToHeight="10" orientation="portrait" cellComments="asDisplayed" r:id="rId1"/>
      <headerFooter>
        <oddHeader>&amp;C&amp;"Arial"&amp;10 Commerce Commission Information Disclosure Template</oddHeader>
        <oddFooter>&amp;L&amp;"Arial"&amp;10 &amp;F&amp;C&amp;"Arial"&amp;10 &amp;A&amp;R&amp;"Arial"&amp;10 &amp;P</oddFooter>
      </headerFooter>
    </customSheetView>
  </customSheetViews>
  <mergeCells count="4">
    <mergeCell ref="H2:J2"/>
    <mergeCell ref="H3:J3"/>
    <mergeCell ref="H4:J4"/>
    <mergeCell ref="A6:J6"/>
  </mergeCells>
  <dataValidations count="2">
    <dataValidation type="custom" allowBlank="1" showInputMessage="1" showErrorMessage="1" error="Decimal values larger than or equal to 0 and the text &quot;N/A&quot; are accepted" prompt="Please enter a number larger than or equal to 0. _x000a_Enter &quot;N/A&quot; if this does not apply" sqref="G40:H40">
      <formula1>OR(AND(ISNUMBER(G40),G40&gt;=0),AND(ISTEXT(G40),G40="N/A"))</formula1>
    </dataValidation>
    <dataValidation allowBlank="1" showInputMessage="1" showErrorMessage="1" prompt="Please enter Network / Sub-Network Name" sqref="H4:J4"/>
  </dataValidations>
  <pageMargins left="0.70866141732283472" right="0.70866141732283472" top="0.74803149606299213" bottom="0.74803149606299213" header="0.31496062992125989" footer="0.31496062992125989"/>
  <pageSetup paperSize="9" scale="62" fitToHeight="2" orientation="portrait" cellComments="asDisplayed" r:id="rId2"/>
  <headerFooter alignWithMargins="0">
    <oddHeader>&amp;CCommerce Commission Information Disclosure Template</oddHeader>
    <oddFooter>&amp;L&amp;F&amp;C&amp;P&amp;R&amp;A</oddFooter>
  </headerFooter>
  <rowBreaks count="1" manualBreakCount="1">
    <brk id="4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sheetPr>
  <dimension ref="A1:C37"/>
  <sheetViews>
    <sheetView showGridLines="0" zoomScaleNormal="100" zoomScaleSheetLayoutView="100" workbookViewId="0"/>
  </sheetViews>
  <sheetFormatPr defaultColWidth="9.140625" defaultRowHeight="15" x14ac:dyDescent="0.2"/>
  <cols>
    <col min="1" max="1" width="9.140625" style="7"/>
    <col min="2" max="2" width="96.85546875" style="7" customWidth="1"/>
    <col min="3" max="3" width="9.140625" style="7" customWidth="1"/>
    <col min="4" max="4" width="8" style="7" customWidth="1"/>
    <col min="5" max="16384" width="9.140625" style="7"/>
  </cols>
  <sheetData>
    <row r="1" spans="1:3" x14ac:dyDescent="0.2">
      <c r="A1" s="522"/>
      <c r="B1" s="523"/>
      <c r="C1" s="524"/>
    </row>
    <row r="2" spans="1:3" ht="15.75" x14ac:dyDescent="0.2">
      <c r="A2" s="525"/>
      <c r="B2" s="526" t="s">
        <v>902</v>
      </c>
      <c r="C2" s="491"/>
    </row>
    <row r="3" spans="1:3" ht="25.5" x14ac:dyDescent="0.2">
      <c r="A3" s="489"/>
      <c r="B3" s="527" t="s">
        <v>903</v>
      </c>
      <c r="C3" s="491"/>
    </row>
    <row r="4" spans="1:3" x14ac:dyDescent="0.2">
      <c r="A4" s="489"/>
      <c r="B4" s="528"/>
      <c r="C4" s="491"/>
    </row>
    <row r="5" spans="1:3" ht="15.75" x14ac:dyDescent="0.2">
      <c r="A5" s="489"/>
      <c r="B5" s="529" t="s">
        <v>638</v>
      </c>
      <c r="C5" s="491"/>
    </row>
    <row r="6" spans="1:3" ht="38.25" x14ac:dyDescent="0.2">
      <c r="A6" s="489"/>
      <c r="B6" s="527" t="s">
        <v>639</v>
      </c>
      <c r="C6" s="491"/>
    </row>
    <row r="7" spans="1:3" ht="68.25" customHeight="1" x14ac:dyDescent="0.2">
      <c r="A7" s="489"/>
      <c r="B7" s="527" t="s">
        <v>640</v>
      </c>
      <c r="C7" s="491"/>
    </row>
    <row r="8" spans="1:3" ht="15" customHeight="1" x14ac:dyDescent="0.2">
      <c r="A8" s="489"/>
      <c r="B8" s="527"/>
      <c r="C8" s="491"/>
    </row>
    <row r="9" spans="1:3" ht="15" customHeight="1" x14ac:dyDescent="0.2">
      <c r="A9" s="489"/>
      <c r="B9" s="529" t="s">
        <v>641</v>
      </c>
      <c r="C9" s="491"/>
    </row>
    <row r="10" spans="1:3" ht="38.25" x14ac:dyDescent="0.2">
      <c r="A10" s="489"/>
      <c r="B10" s="527" t="s">
        <v>650</v>
      </c>
      <c r="C10" s="491"/>
    </row>
    <row r="11" spans="1:3" ht="25.5" x14ac:dyDescent="0.2">
      <c r="A11" s="489"/>
      <c r="B11" s="527" t="s">
        <v>756</v>
      </c>
      <c r="C11" s="491"/>
    </row>
    <row r="12" spans="1:3" ht="15" customHeight="1" x14ac:dyDescent="0.2">
      <c r="A12" s="489"/>
      <c r="B12" s="527"/>
      <c r="C12" s="491"/>
    </row>
    <row r="13" spans="1:3" ht="15" customHeight="1" x14ac:dyDescent="0.2">
      <c r="A13" s="489"/>
      <c r="B13" s="529" t="s">
        <v>642</v>
      </c>
      <c r="C13" s="491"/>
    </row>
    <row r="14" spans="1:3" ht="63.75" x14ac:dyDescent="0.2">
      <c r="A14" s="489"/>
      <c r="B14" s="527" t="s">
        <v>643</v>
      </c>
      <c r="C14" s="491"/>
    </row>
    <row r="15" spans="1:3" ht="15" customHeight="1" x14ac:dyDescent="0.2">
      <c r="A15" s="489"/>
      <c r="B15" s="527"/>
      <c r="C15" s="491"/>
    </row>
    <row r="16" spans="1:3" ht="15" customHeight="1" x14ac:dyDescent="0.2">
      <c r="A16" s="489"/>
      <c r="B16" s="529" t="s">
        <v>644</v>
      </c>
      <c r="C16" s="491"/>
    </row>
    <row r="17" spans="1:3" ht="127.5" x14ac:dyDescent="0.2">
      <c r="A17" s="489"/>
      <c r="B17" s="530" t="s">
        <v>927</v>
      </c>
      <c r="C17" s="491"/>
    </row>
    <row r="18" spans="1:3" x14ac:dyDescent="0.2">
      <c r="A18" s="489"/>
      <c r="B18" s="530"/>
      <c r="C18" s="491"/>
    </row>
    <row r="19" spans="1:3" ht="15" customHeight="1" x14ac:dyDescent="0.2">
      <c r="A19" s="489"/>
      <c r="B19" s="529" t="s">
        <v>645</v>
      </c>
      <c r="C19" s="491"/>
    </row>
    <row r="20" spans="1:3" ht="38.25" x14ac:dyDescent="0.2">
      <c r="A20" s="489"/>
      <c r="B20" s="527" t="s">
        <v>926</v>
      </c>
      <c r="C20" s="491"/>
    </row>
    <row r="21" spans="1:3" ht="25.5" x14ac:dyDescent="0.2">
      <c r="A21" s="489"/>
      <c r="B21" s="527" t="s">
        <v>760</v>
      </c>
      <c r="C21" s="491"/>
    </row>
    <row r="22" spans="1:3" ht="63" customHeight="1" x14ac:dyDescent="0.2">
      <c r="A22" s="489"/>
      <c r="B22" s="527" t="s">
        <v>925</v>
      </c>
      <c r="C22" s="491"/>
    </row>
    <row r="23" spans="1:3" ht="51" x14ac:dyDescent="0.2">
      <c r="A23" s="489"/>
      <c r="B23" s="530" t="s">
        <v>677</v>
      </c>
      <c r="C23" s="491"/>
    </row>
    <row r="24" spans="1:3" ht="15" customHeight="1" x14ac:dyDescent="0.2">
      <c r="A24" s="489"/>
      <c r="B24" s="527"/>
      <c r="C24" s="491"/>
    </row>
    <row r="25" spans="1:3" ht="15" customHeight="1" x14ac:dyDescent="0.2">
      <c r="A25" s="489"/>
      <c r="B25" s="529" t="s">
        <v>646</v>
      </c>
      <c r="C25" s="491"/>
    </row>
    <row r="26" spans="1:3" ht="25.5" x14ac:dyDescent="0.2">
      <c r="A26" s="489"/>
      <c r="B26" s="527" t="s">
        <v>676</v>
      </c>
      <c r="C26" s="491"/>
    </row>
    <row r="27" spans="1:3" x14ac:dyDescent="0.2">
      <c r="A27" s="489"/>
      <c r="B27" s="527"/>
      <c r="C27" s="491"/>
    </row>
    <row r="28" spans="1:3" ht="15.75" x14ac:dyDescent="0.2">
      <c r="A28" s="489"/>
      <c r="B28" s="529" t="s">
        <v>647</v>
      </c>
      <c r="C28" s="491"/>
    </row>
    <row r="29" spans="1:3" ht="38.25" x14ac:dyDescent="0.2">
      <c r="A29" s="489"/>
      <c r="B29" s="527" t="s">
        <v>924</v>
      </c>
      <c r="C29" s="491"/>
    </row>
    <row r="30" spans="1:3" x14ac:dyDescent="0.2">
      <c r="A30" s="489"/>
      <c r="B30" s="527"/>
      <c r="C30" s="491"/>
    </row>
    <row r="31" spans="1:3" ht="15.75" x14ac:dyDescent="0.2">
      <c r="A31" s="489"/>
      <c r="B31" s="529" t="s">
        <v>648</v>
      </c>
      <c r="C31" s="491"/>
    </row>
    <row r="32" spans="1:3" ht="38.25" x14ac:dyDescent="0.2">
      <c r="A32" s="489"/>
      <c r="B32" s="527" t="s">
        <v>649</v>
      </c>
      <c r="C32" s="491"/>
    </row>
    <row r="33" spans="1:3" x14ac:dyDescent="0.2">
      <c r="A33" s="489"/>
      <c r="B33" s="527"/>
      <c r="C33" s="491"/>
    </row>
    <row r="34" spans="1:3" ht="15.75" x14ac:dyDescent="0.2">
      <c r="A34" s="489"/>
      <c r="B34" s="529" t="s">
        <v>651</v>
      </c>
      <c r="C34" s="491"/>
    </row>
    <row r="35" spans="1:3" ht="25.5" x14ac:dyDescent="0.2">
      <c r="A35" s="489"/>
      <c r="B35" s="527" t="s">
        <v>652</v>
      </c>
      <c r="C35" s="491"/>
    </row>
    <row r="36" spans="1:3" ht="132" customHeight="1" x14ac:dyDescent="0.2">
      <c r="A36" s="489"/>
      <c r="B36" s="530" t="s">
        <v>904</v>
      </c>
      <c r="C36" s="491"/>
    </row>
    <row r="37" spans="1:3" s="8" customFormat="1" x14ac:dyDescent="0.2">
      <c r="A37" s="531"/>
      <c r="B37" s="532"/>
      <c r="C37" s="533"/>
    </row>
  </sheetData>
  <sheetProtection sheet="1" objects="1" formatRows="0" insertRows="0"/>
  <customSheetViews>
    <customSheetView guid="{21F2E024-704F-4E93-AC63-213755ECFFE0}" showPageBreaks="1" showGridLines="0" fitToPage="1" printArea="1" view="pageBreakPreview">
      <pageMargins left="0.70866141732283472" right="0.70866141732283472" top="0.74803149606299213" bottom="0.74803149606299213" header="0.31496062992125989" footer="0.31496062992125989"/>
      <pageSetup paperSize="9" scale="62"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phoneticPr fontId="2" type="noConversion"/>
  <pageMargins left="0.70866141732283472" right="0.70866141732283472" top="0.74803149606299213" bottom="0.74803149606299213" header="0.31496062992125984" footer="0.31496062992125984"/>
  <pageSetup paperSize="9" scale="84" fitToHeight="2" orientation="portrait" r:id="rId2"/>
  <headerFooter alignWithMargins="0">
    <oddHeader>&amp;CCommerce Commission Information Disclosure Template</oddHeader>
    <oddFooter>&amp;L&amp;F&amp;C&amp;P&amp;R&amp;A</oddFooter>
  </headerFooter>
  <rowBreaks count="1" manualBreakCount="1">
    <brk id="2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pageSetUpPr fitToPage="1"/>
  </sheetPr>
  <dimension ref="A1:N43"/>
  <sheetViews>
    <sheetView showGridLines="0" zoomScaleNormal="100" zoomScaleSheetLayoutView="100" workbookViewId="0">
      <selection activeCell="A7" sqref="A1:XFD1048576"/>
    </sheetView>
  </sheetViews>
  <sheetFormatPr defaultRowHeight="12.75" x14ac:dyDescent="0.2"/>
  <cols>
    <col min="1" max="3" width="3.7109375" customWidth="1"/>
    <col min="4" max="5" width="3.7109375" style="29" customWidth="1"/>
    <col min="6" max="6" width="45.7109375" style="29" customWidth="1"/>
    <col min="7" max="7" width="5.28515625" customWidth="1"/>
    <col min="8" max="11" width="15.85546875" customWidth="1"/>
    <col min="12" max="12" width="19.140625" customWidth="1"/>
    <col min="13" max="13" width="2.7109375" customWidth="1"/>
    <col min="14" max="14" width="27.7109375" style="214" customWidth="1"/>
  </cols>
  <sheetData>
    <row r="1" spans="1:14" ht="15" customHeight="1" x14ac:dyDescent="0.2">
      <c r="A1" s="554"/>
      <c r="B1" s="546"/>
      <c r="C1" s="546"/>
      <c r="D1" s="546"/>
      <c r="E1" s="546"/>
      <c r="F1" s="546"/>
      <c r="G1" s="546"/>
      <c r="H1" s="546"/>
      <c r="I1" s="546"/>
      <c r="J1" s="546"/>
      <c r="K1" s="546"/>
      <c r="L1" s="546"/>
      <c r="M1" s="547"/>
    </row>
    <row r="2" spans="1:14" ht="18" customHeight="1" x14ac:dyDescent="0.3">
      <c r="A2" s="48"/>
      <c r="B2" s="49"/>
      <c r="C2" s="49"/>
      <c r="D2" s="49"/>
      <c r="E2" s="49"/>
      <c r="F2" s="49"/>
      <c r="G2" s="543"/>
      <c r="H2" s="543"/>
      <c r="I2" s="94" t="s">
        <v>8</v>
      </c>
      <c r="J2" s="611" t="str">
        <f>IF(NOT(ISBLANK(CoverSheet!$C$8)),CoverSheet!$C$8,"")</f>
        <v>Alpine Energy Limited</v>
      </c>
      <c r="K2" s="611"/>
      <c r="L2" s="611"/>
      <c r="M2" s="50"/>
    </row>
    <row r="3" spans="1:14" ht="18" customHeight="1" x14ac:dyDescent="0.25">
      <c r="A3" s="48"/>
      <c r="B3" s="49"/>
      <c r="C3" s="49"/>
      <c r="D3" s="49"/>
      <c r="E3" s="49"/>
      <c r="F3" s="49"/>
      <c r="G3" s="543"/>
      <c r="H3" s="543"/>
      <c r="I3" s="94" t="s">
        <v>393</v>
      </c>
      <c r="J3" s="612">
        <f>IF(ISNUMBER(CoverSheet!$C$12),CoverSheet!$C$12,"")</f>
        <v>43190</v>
      </c>
      <c r="K3" s="612"/>
      <c r="L3" s="612"/>
      <c r="M3" s="50"/>
    </row>
    <row r="4" spans="1:14" ht="30" customHeight="1" x14ac:dyDescent="0.35">
      <c r="A4" s="545" t="s">
        <v>373</v>
      </c>
      <c r="B4" s="49"/>
      <c r="C4" s="49"/>
      <c r="D4" s="49"/>
      <c r="E4" s="49"/>
      <c r="F4" s="49"/>
      <c r="G4" s="49"/>
      <c r="H4" s="49"/>
      <c r="I4" s="452"/>
      <c r="J4" s="49"/>
      <c r="K4" s="49"/>
      <c r="L4" s="49"/>
      <c r="M4" s="52"/>
    </row>
    <row r="5" spans="1:14" s="29" customFormat="1" ht="54" customHeight="1" x14ac:dyDescent="0.2">
      <c r="A5" s="609" t="s">
        <v>762</v>
      </c>
      <c r="B5" s="610"/>
      <c r="C5" s="610"/>
      <c r="D5" s="610"/>
      <c r="E5" s="610"/>
      <c r="F5" s="610"/>
      <c r="G5" s="610"/>
      <c r="H5" s="610"/>
      <c r="I5" s="610"/>
      <c r="J5" s="610"/>
      <c r="K5" s="610"/>
      <c r="L5" s="610"/>
      <c r="M5" s="95"/>
      <c r="N5" s="214"/>
    </row>
    <row r="6" spans="1:14" ht="15" customHeight="1" x14ac:dyDescent="0.2">
      <c r="A6" s="87" t="s">
        <v>623</v>
      </c>
      <c r="B6" s="452"/>
      <c r="C6" s="53"/>
      <c r="D6" s="54"/>
      <c r="E6" s="54"/>
      <c r="F6" s="54"/>
      <c r="G6" s="49"/>
      <c r="H6" s="49"/>
      <c r="I6" s="49"/>
      <c r="J6" s="49"/>
      <c r="K6" s="49"/>
      <c r="L6" s="49"/>
      <c r="M6" s="52"/>
    </row>
    <row r="7" spans="1:14" ht="30" customHeight="1" x14ac:dyDescent="0.3">
      <c r="A7" s="116">
        <v>7</v>
      </c>
      <c r="B7" s="544"/>
      <c r="C7" s="142" t="s">
        <v>495</v>
      </c>
      <c r="D7" s="542"/>
      <c r="E7" s="542"/>
      <c r="F7" s="542"/>
      <c r="G7" s="542"/>
      <c r="H7" s="542"/>
      <c r="I7" s="542"/>
      <c r="J7" s="542"/>
      <c r="K7" s="542"/>
      <c r="L7" s="542"/>
      <c r="M7" s="34"/>
    </row>
    <row r="8" spans="1:14" ht="76.900000000000006" customHeight="1" x14ac:dyDescent="0.3">
      <c r="A8" s="116">
        <v>8</v>
      </c>
      <c r="B8" s="544"/>
      <c r="C8" s="142"/>
      <c r="D8" s="544"/>
      <c r="E8" s="544"/>
      <c r="F8" s="544"/>
      <c r="G8" s="542"/>
      <c r="H8" s="379" t="s">
        <v>766</v>
      </c>
      <c r="I8" s="288" t="s">
        <v>767</v>
      </c>
      <c r="J8" s="379" t="s">
        <v>768</v>
      </c>
      <c r="K8" s="379" t="s">
        <v>769</v>
      </c>
      <c r="L8" s="288" t="s">
        <v>770</v>
      </c>
      <c r="M8" s="35"/>
    </row>
    <row r="9" spans="1:14" ht="15" customHeight="1" x14ac:dyDescent="0.3">
      <c r="A9" s="116">
        <v>9</v>
      </c>
      <c r="B9" s="544"/>
      <c r="C9" s="142"/>
      <c r="D9" s="36"/>
      <c r="E9" s="117" t="s">
        <v>117</v>
      </c>
      <c r="F9" s="117"/>
      <c r="G9" s="542"/>
      <c r="H9" s="2">
        <f>IF('S8.Billed Quantities+Revenues'!H37&lt;&gt;0,'S6b.Actual Expenditure Opex'!$S$17*1000/('S8.Billed Quantities+Revenues'!H37/1000),0)</f>
        <v>22111.839605855657</v>
      </c>
      <c r="I9" s="2">
        <f>IF('S8.Billed Quantities+Revenues'!G37&lt;&gt;0,'S6b.Actual Expenditure Opex'!$S$17*1000/'S8.Billed Quantities+Revenues'!G37,0)</f>
        <v>520.73458620166798</v>
      </c>
      <c r="J9" s="2">
        <f>IF('S9e.Demand'!J35&lt;&gt;0,'S6b.Actual Expenditure Opex'!$S$17*1000/'S9e.Demand'!J35,0)</f>
        <v>117522.57189788517</v>
      </c>
      <c r="K9" s="2">
        <f>IF('S9c.Overhead Lines'!I18&lt;&gt;0,'S6b.Actual Expenditure Opex'!$S$17*1000/'S9c.Overhead Lines'!I18,0)</f>
        <v>4004.4829710820895</v>
      </c>
      <c r="L9" s="2">
        <f>IF('S9e.Demand'!J48&lt;&gt;0,'S6b.Actual Expenditure Opex'!$S$17*1000/'S9e.Demand'!J48,0)</f>
        <v>30177.896274165203</v>
      </c>
      <c r="M9" s="37"/>
      <c r="N9" s="214" t="s">
        <v>636</v>
      </c>
    </row>
    <row r="10" spans="1:14" s="29" customFormat="1" ht="15" customHeight="1" x14ac:dyDescent="0.3">
      <c r="A10" s="116">
        <v>10</v>
      </c>
      <c r="B10" s="544"/>
      <c r="C10" s="142"/>
      <c r="D10" s="38"/>
      <c r="E10" s="36"/>
      <c r="F10" s="144" t="s">
        <v>565</v>
      </c>
      <c r="G10" s="542"/>
      <c r="H10" s="2">
        <f>IF('S8.Billed Quantities+Revenues'!H37&lt;&gt;0,'S6b.Actual Expenditure Opex'!$S$12*1000/('S8.Billed Quantities+Revenues'!H37/1000),0)</f>
        <v>6953.7233318031576</v>
      </c>
      <c r="I10" s="2">
        <f>IF('S8.Billed Quantities+Revenues'!G37&lt;&gt;0,'S6b.Actual Expenditure Opex'!$S$12*1000/'S8.Billed Quantities+Revenues'!G37,0)</f>
        <v>163.7604245640637</v>
      </c>
      <c r="J10" s="2">
        <f>IF('S9e.Demand'!J35&lt;&gt;0,'S6b.Actual Expenditure Opex'!$S$12*1000/'S9e.Demand'!J35,0)</f>
        <v>36958.455957839986</v>
      </c>
      <c r="K10" s="2">
        <f>IF('S9c.Overhead Lines'!I18&lt;&gt;0,'S6b.Actual Expenditure Opex'!$S$12*1000/'S9c.Overhead Lines'!I18,0)</f>
        <v>1259.3283582089553</v>
      </c>
      <c r="L10" s="2">
        <f>IF('S9e.Demand'!J48&lt;&gt;0,'S6b.Actual Expenditure Opex'!$S$12*1000/'S9e.Demand'!J48,0)</f>
        <v>9490.3339191564155</v>
      </c>
      <c r="M10" s="37"/>
      <c r="N10" s="214" t="s">
        <v>636</v>
      </c>
    </row>
    <row r="11" spans="1:14" s="29" customFormat="1" ht="15" customHeight="1" x14ac:dyDescent="0.3">
      <c r="A11" s="116">
        <v>11</v>
      </c>
      <c r="B11" s="544"/>
      <c r="C11" s="142"/>
      <c r="D11" s="38"/>
      <c r="E11" s="36"/>
      <c r="F11" s="144" t="s">
        <v>566</v>
      </c>
      <c r="G11" s="542"/>
      <c r="H11" s="2">
        <f>IF('S8.Billed Quantities+Revenues'!H37&lt;&gt;0,'S6b.Actual Expenditure Opex'!$S$15*1000/('S8.Billed Quantities+Revenues'!H37/1000),0)</f>
        <v>15158.116274052501</v>
      </c>
      <c r="I11" s="2">
        <f>IF('S8.Billed Quantities+Revenues'!G37&lt;&gt;0,'S6b.Actual Expenditure Opex'!$S$15*1000/'S8.Billed Quantities+Revenues'!G37,0)</f>
        <v>356.97416163760431</v>
      </c>
      <c r="J11" s="2">
        <f>IF('S9e.Demand'!J35&lt;&gt;0,'S6b.Actual Expenditure Opex'!$S$15*1000/'S9e.Demand'!J35,0)</f>
        <v>80564.115940045202</v>
      </c>
      <c r="K11" s="2">
        <f>IF('S9c.Overhead Lines'!I18&lt;&gt;0,'S6b.Actual Expenditure Opex'!$S$15*1000/'S9c.Overhead Lines'!I18,0)</f>
        <v>2745.1546128731347</v>
      </c>
      <c r="L11" s="2">
        <f>IF('S9e.Demand'!J48&lt;&gt;0,'S6b.Actual Expenditure Opex'!$S$15*1000/'S9e.Demand'!J48,0)</f>
        <v>20687.562355008791</v>
      </c>
      <c r="M11" s="37"/>
      <c r="N11" s="214" t="s">
        <v>636</v>
      </c>
    </row>
    <row r="12" spans="1:14" s="29" customFormat="1" ht="15" customHeight="1" x14ac:dyDescent="0.3">
      <c r="A12" s="116">
        <v>12</v>
      </c>
      <c r="B12" s="544"/>
      <c r="C12" s="142"/>
      <c r="D12" s="38"/>
      <c r="E12" s="36"/>
      <c r="F12" s="144"/>
      <c r="G12" s="542"/>
      <c r="H12" s="544"/>
      <c r="I12" s="544"/>
      <c r="J12" s="544"/>
      <c r="K12" s="544"/>
      <c r="L12" s="544"/>
      <c r="M12" s="37"/>
      <c r="N12" s="214"/>
    </row>
    <row r="13" spans="1:14" ht="15" customHeight="1" x14ac:dyDescent="0.3">
      <c r="A13" s="116">
        <v>13</v>
      </c>
      <c r="B13" s="544"/>
      <c r="C13" s="142"/>
      <c r="D13" s="36"/>
      <c r="E13" s="117" t="s">
        <v>549</v>
      </c>
      <c r="F13" s="144"/>
      <c r="G13" s="542"/>
      <c r="H13" s="2">
        <f>IF('S8.Billed Quantities+Revenues'!H37&lt;&gt;0,'S6a.Actual Expenditure Capex'!$K$20*1000/('S8.Billed Quantities+Revenues'!H37/1000),0)</f>
        <v>40644.707063552123</v>
      </c>
      <c r="I13" s="2">
        <f>IF('S8.Billed Quantities+Revenues'!G37&lt;&gt;0,'S6a.Actual Expenditure Capex'!$K$20*1000/'S8.Billed Quantities+Revenues'!G37,0)</f>
        <v>957.18425473843809</v>
      </c>
      <c r="J13" s="2">
        <f>IF('S9e.Demand'!J35&lt;&gt;0,'S6a.Actual Expenditure Capex'!$K$20*1000/'S9e.Demand'!J35,0)</f>
        <v>216023.20717267811</v>
      </c>
      <c r="K13" s="2">
        <f>IF('S9c.Overhead Lines'!I18&lt;&gt;0,'S6a.Actual Expenditure Capex'!$K$20*1000/'S9c.Overhead Lines'!I18,0)</f>
        <v>7360.8094216417903</v>
      </c>
      <c r="L13" s="2">
        <f>IF('S9e.Demand'!J48&lt;&gt;0,'S6a.Actual Expenditure Capex'!$K$20*1000/'S9e.Demand'!J48,0)</f>
        <v>55471.266783831277</v>
      </c>
      <c r="M13" s="34"/>
      <c r="N13" s="214" t="s">
        <v>637</v>
      </c>
    </row>
    <row r="14" spans="1:14" ht="15" customHeight="1" x14ac:dyDescent="0.3">
      <c r="A14" s="116">
        <v>14</v>
      </c>
      <c r="B14" s="544"/>
      <c r="C14" s="142"/>
      <c r="D14" s="38"/>
      <c r="E14" s="544"/>
      <c r="F14" s="144" t="s">
        <v>565</v>
      </c>
      <c r="G14" s="542"/>
      <c r="H14" s="2">
        <f>IF('S8.Billed Quantities+Revenues'!H37&lt;&gt;0,'S6a.Actual Expenditure Capex'!$K$17*1000/('S8.Billed Quantities+Revenues'!H37/1000),0)</f>
        <v>24844.537237410739</v>
      </c>
      <c r="I14" s="2">
        <f>IF('S8.Billed Quantities+Revenues'!G37&lt;&gt;0,'S6a.Actual Expenditure Capex'!$K$17*1000/'S8.Billed Quantities+Revenues'!G37,0)</f>
        <v>585.08970978013633</v>
      </c>
      <c r="J14" s="2">
        <f>IF('S9e.Demand'!J35&lt;&gt;0,'S6a.Actual Expenditure Capex'!$K$17*1000/'S9e.Demand'!J35,0)</f>
        <v>132046.63048388201</v>
      </c>
      <c r="K14" s="2">
        <f>IF('S9c.Overhead Lines'!I18&lt;&gt;0,'S6a.Actual Expenditure Capex'!$K$17*1000/'S9c.Overhead Lines'!I18,0)</f>
        <v>4499.3780736940289</v>
      </c>
      <c r="L14" s="2">
        <f>IF('S9e.Demand'!J48&lt;&gt;0,'S6a.Actual Expenditure Capex'!$K$17*1000/'S9e.Demand'!J48,0)</f>
        <v>33907.439683655532</v>
      </c>
      <c r="M14" s="34"/>
      <c r="N14" s="214" t="s">
        <v>637</v>
      </c>
    </row>
    <row r="15" spans="1:14" ht="15" customHeight="1" x14ac:dyDescent="0.3">
      <c r="A15" s="116">
        <v>15</v>
      </c>
      <c r="B15" s="544"/>
      <c r="C15" s="142"/>
      <c r="D15" s="38"/>
      <c r="E15" s="544"/>
      <c r="F15" s="144" t="s">
        <v>566</v>
      </c>
      <c r="G15" s="542"/>
      <c r="H15" s="2">
        <f>IF('S8.Billed Quantities+Revenues'!H37&lt;&gt;0,'S6a.Actual Expenditure Capex'!$K$18*1000/('S8.Billed Quantities+Revenues'!H37/1000),0)</f>
        <v>15800.169826141386</v>
      </c>
      <c r="I15" s="2">
        <f>IF('S8.Billed Quantities+Revenues'!G37&lt;&gt;0,'S6a.Actual Expenditure Capex'!$K$18*1000/'S8.Billed Quantities+Revenues'!G37,0)</f>
        <v>372.0945449583017</v>
      </c>
      <c r="J15" s="2">
        <f>IF('S9e.Demand'!J35&lt;&gt;0,'S6a.Actual Expenditure Capex'!$K$18*1000/'S9e.Demand'!J35,0)</f>
        <v>83976.576688796122</v>
      </c>
      <c r="K15" s="2">
        <f>IF('S9c.Overhead Lines'!I18&lt;&gt;0,'S6a.Actual Expenditure Capex'!$K$18*1000/'S9c.Overhead Lines'!I18,0)</f>
        <v>2861.431347947761</v>
      </c>
      <c r="L15" s="2">
        <f>IF('S9e.Demand'!J48&lt;&gt;0,'S6a.Actual Expenditure Capex'!$K$18*1000/'S9e.Demand'!J48,0)</f>
        <v>21563.827100175746</v>
      </c>
      <c r="M15" s="37"/>
      <c r="N15" s="214" t="s">
        <v>637</v>
      </c>
    </row>
    <row r="16" spans="1:14" ht="15" customHeight="1" x14ac:dyDescent="0.3">
      <c r="A16" s="116">
        <v>16</v>
      </c>
      <c r="B16" s="544"/>
      <c r="C16" s="142"/>
      <c r="D16" s="544"/>
      <c r="E16" s="544"/>
      <c r="F16" s="144"/>
      <c r="G16" s="542"/>
      <c r="H16" s="542"/>
      <c r="I16" s="542"/>
      <c r="J16" s="542"/>
      <c r="K16" s="542"/>
      <c r="L16" s="542"/>
      <c r="M16" s="34"/>
    </row>
    <row r="17" spans="1:14" ht="15" customHeight="1" x14ac:dyDescent="0.3">
      <c r="A17" s="116">
        <v>17</v>
      </c>
      <c r="B17" s="544"/>
      <c r="C17" s="142" t="s">
        <v>496</v>
      </c>
      <c r="D17" s="542"/>
      <c r="E17" s="542"/>
      <c r="F17" s="144"/>
      <c r="G17" s="542"/>
      <c r="H17" s="542"/>
      <c r="I17" s="542"/>
      <c r="J17" s="542"/>
      <c r="K17" s="542"/>
      <c r="L17" s="542"/>
      <c r="M17" s="34"/>
    </row>
    <row r="18" spans="1:14" ht="60" customHeight="1" x14ac:dyDescent="0.3">
      <c r="A18" s="116">
        <v>18</v>
      </c>
      <c r="B18" s="544"/>
      <c r="C18" s="142"/>
      <c r="D18" s="544"/>
      <c r="E18" s="544"/>
      <c r="F18" s="144"/>
      <c r="G18" s="542"/>
      <c r="H18" s="379" t="s">
        <v>771</v>
      </c>
      <c r="I18" s="288" t="s">
        <v>772</v>
      </c>
      <c r="J18" s="542"/>
      <c r="K18" s="542"/>
      <c r="L18" s="542"/>
      <c r="M18" s="34"/>
    </row>
    <row r="19" spans="1:14" ht="15" customHeight="1" x14ac:dyDescent="0.3">
      <c r="A19" s="116">
        <v>19</v>
      </c>
      <c r="B19" s="544"/>
      <c r="C19" s="142"/>
      <c r="D19" s="544"/>
      <c r="E19" s="117" t="s">
        <v>456</v>
      </c>
      <c r="F19" s="144"/>
      <c r="G19" s="542"/>
      <c r="H19" s="2">
        <f>IF('S8.Billed Quantities+Revenues'!H37&lt;&gt;0,'S8.Billed Quantities+Revenues'!$G$68*1000/('S8.Billed Quantities+Revenues'!H37/1000),0)</f>
        <v>77882.686246718993</v>
      </c>
      <c r="I19" s="2">
        <f>IF('S8.Billed Quantities+Revenues'!G37&lt;&gt;0,'S8.Billed Quantities+Revenues'!$G$68*1000/'S8.Billed Quantities+Revenues'!G37,0)</f>
        <v>1834.1399502653526</v>
      </c>
      <c r="J19" s="544"/>
      <c r="K19" s="544"/>
      <c r="L19" s="544"/>
      <c r="M19" s="34"/>
      <c r="N19" s="214" t="s">
        <v>581</v>
      </c>
    </row>
    <row r="20" spans="1:14" s="29" customFormat="1" ht="15" customHeight="1" x14ac:dyDescent="0.3">
      <c r="A20" s="116">
        <v>20</v>
      </c>
      <c r="B20" s="544"/>
      <c r="C20" s="142"/>
      <c r="D20" s="38"/>
      <c r="E20" s="544"/>
      <c r="F20" s="144" t="s">
        <v>457</v>
      </c>
      <c r="G20" s="542"/>
      <c r="H20" s="2">
        <f>IF('S8.Billed Quantities+Revenues'!H35&lt;&gt;0,'S8.Billed Quantities+Revenues'!$G$66*1000/('S8.Billed Quantities+Revenues'!H35/1000),0)</f>
        <v>89878.436757028161</v>
      </c>
      <c r="I20" s="2">
        <f>IF('S8.Billed Quantities+Revenues'!G35&lt;&gt;0,'S8.Billed Quantities+Revenues'!$G$66*1000/'S8.Billed Quantities+Revenues'!G35,0)</f>
        <v>1652.372688378588</v>
      </c>
      <c r="J20" s="544"/>
      <c r="K20" s="544"/>
      <c r="L20" s="544"/>
      <c r="M20" s="34"/>
      <c r="N20" s="214" t="s">
        <v>581</v>
      </c>
    </row>
    <row r="21" spans="1:14" s="29" customFormat="1" ht="15" customHeight="1" x14ac:dyDescent="0.3">
      <c r="A21" s="116">
        <v>21</v>
      </c>
      <c r="B21" s="544"/>
      <c r="C21" s="142"/>
      <c r="D21" s="38"/>
      <c r="E21" s="544"/>
      <c r="F21" s="144" t="s">
        <v>458</v>
      </c>
      <c r="G21" s="542"/>
      <c r="H21" s="2">
        <f>IF('S8.Billed Quantities+Revenues'!H36&lt;&gt;0,'S8.Billed Quantities+Revenues'!$G$67*1000/('S8.Billed Quantities+Revenues'!H36/1000),0)</f>
        <v>35259.408053895226</v>
      </c>
      <c r="I21" s="2">
        <f>IF('S8.Billed Quantities+Revenues'!G36&lt;&gt;0,'S8.Billed Quantities+Revenues'!$G$67*1000/'S8.Billed Quantities+Revenues'!G36,0)</f>
        <v>501133.66108138341</v>
      </c>
      <c r="J21" s="544"/>
      <c r="K21" s="544"/>
      <c r="L21" s="544"/>
      <c r="M21" s="34"/>
      <c r="N21" s="214" t="s">
        <v>581</v>
      </c>
    </row>
    <row r="22" spans="1:14" ht="15" customHeight="1" x14ac:dyDescent="0.3">
      <c r="A22" s="116">
        <v>22</v>
      </c>
      <c r="B22" s="544"/>
      <c r="C22" s="142"/>
      <c r="D22" s="36"/>
      <c r="E22" s="36"/>
      <c r="F22" s="144"/>
      <c r="G22" s="542"/>
      <c r="H22" s="544"/>
      <c r="I22" s="544"/>
      <c r="J22" s="544"/>
      <c r="K22" s="544"/>
      <c r="L22" s="544"/>
      <c r="M22" s="37"/>
    </row>
    <row r="23" spans="1:14" ht="15" customHeight="1" x14ac:dyDescent="0.3">
      <c r="A23" s="116">
        <v>23</v>
      </c>
      <c r="B23" s="544"/>
      <c r="C23" s="142" t="s">
        <v>497</v>
      </c>
      <c r="D23" s="36"/>
      <c r="E23" s="36"/>
      <c r="F23" s="144"/>
      <c r="G23" s="542"/>
      <c r="H23" s="544"/>
      <c r="I23" s="544"/>
      <c r="J23" s="544"/>
      <c r="K23" s="544"/>
      <c r="L23" s="544"/>
      <c r="M23" s="37"/>
    </row>
    <row r="24" spans="1:14" ht="15" customHeight="1" x14ac:dyDescent="0.3">
      <c r="A24" s="116">
        <v>24</v>
      </c>
      <c r="B24" s="36"/>
      <c r="C24" s="142"/>
      <c r="D24" s="36"/>
      <c r="E24" s="36"/>
      <c r="F24" s="144"/>
      <c r="G24" s="542"/>
      <c r="H24" s="544"/>
      <c r="I24" s="544"/>
      <c r="J24" s="36"/>
      <c r="K24" s="544"/>
      <c r="L24" s="544"/>
      <c r="M24" s="34"/>
    </row>
    <row r="25" spans="1:14" s="29" customFormat="1" ht="15" customHeight="1" x14ac:dyDescent="0.3">
      <c r="A25" s="116">
        <v>25</v>
      </c>
      <c r="B25" s="544"/>
      <c r="C25" s="142"/>
      <c r="D25" s="36"/>
      <c r="E25" s="36"/>
      <c r="F25" s="144" t="s">
        <v>357</v>
      </c>
      <c r="G25" s="542"/>
      <c r="H25" s="2">
        <f>IF('S9c.Overhead Lines'!I18&lt;&gt;0,'S9e.Demand'!J33*1000/'S9c.Overhead Lines'!I18,0)</f>
        <v>34.074160447761187</v>
      </c>
      <c r="I25" s="289" t="s">
        <v>681</v>
      </c>
      <c r="J25" s="290"/>
      <c r="K25" s="88"/>
      <c r="L25" s="88"/>
      <c r="M25" s="291"/>
      <c r="N25" s="214" t="s">
        <v>602</v>
      </c>
    </row>
    <row r="26" spans="1:14" s="29" customFormat="1" ht="15" customHeight="1" x14ac:dyDescent="0.3">
      <c r="A26" s="116">
        <v>26</v>
      </c>
      <c r="B26" s="544"/>
      <c r="C26" s="142"/>
      <c r="D26" s="36"/>
      <c r="E26" s="36"/>
      <c r="F26" s="144" t="s">
        <v>358</v>
      </c>
      <c r="G26" s="542"/>
      <c r="H26" s="2">
        <f>IF('S9c.Overhead Lines'!I18&lt;&gt;0,'S8.Billed Quantities+Revenues'!H37/'S9c.Overhead Lines'!I18,0)</f>
        <v>181.10130330457093</v>
      </c>
      <c r="I26" s="289" t="s">
        <v>682</v>
      </c>
      <c r="J26" s="290"/>
      <c r="K26" s="88"/>
      <c r="L26" s="88"/>
      <c r="M26" s="37"/>
      <c r="N26" s="214" t="s">
        <v>603</v>
      </c>
    </row>
    <row r="27" spans="1:14" s="29" customFormat="1" ht="15" customHeight="1" x14ac:dyDescent="0.3">
      <c r="A27" s="116">
        <v>27</v>
      </c>
      <c r="B27" s="36"/>
      <c r="C27" s="142"/>
      <c r="D27" s="36"/>
      <c r="E27" s="36"/>
      <c r="F27" s="144" t="s">
        <v>359</v>
      </c>
      <c r="G27" s="542"/>
      <c r="H27" s="2">
        <f>IF('S9c.Overhead Lines'!I18&lt;&gt;0,'S8.Billed Quantities+Revenues'!G37/'S9c.Overhead Lines'!I18,0)</f>
        <v>7.6900652985074629</v>
      </c>
      <c r="I27" s="289" t="s">
        <v>683</v>
      </c>
      <c r="J27" s="290"/>
      <c r="K27" s="88"/>
      <c r="L27" s="88"/>
      <c r="M27" s="34"/>
      <c r="N27" s="214" t="s">
        <v>603</v>
      </c>
    </row>
    <row r="28" spans="1:14" s="29" customFormat="1" ht="15" customHeight="1" x14ac:dyDescent="0.3">
      <c r="A28" s="116">
        <v>28</v>
      </c>
      <c r="B28" s="544"/>
      <c r="C28" s="142"/>
      <c r="D28" s="36"/>
      <c r="E28" s="36"/>
      <c r="F28" s="144" t="s">
        <v>419</v>
      </c>
      <c r="G28" s="542"/>
      <c r="H28" s="2">
        <f>IF('S8.Billed Quantities+Revenues'!G37,'S8.Billed Quantities+Revenues'!H37*1000/'S8.Billed Quantities+Revenues'!G37,0)</f>
        <v>23550.034528279004</v>
      </c>
      <c r="I28" s="289" t="s">
        <v>746</v>
      </c>
      <c r="J28" s="88"/>
      <c r="K28" s="88"/>
      <c r="L28" s="88"/>
      <c r="M28" s="37"/>
      <c r="N28" s="214" t="s">
        <v>581</v>
      </c>
    </row>
    <row r="29" spans="1:14" s="29" customFormat="1" ht="15" customHeight="1" x14ac:dyDescent="0.3">
      <c r="A29" s="116">
        <v>29</v>
      </c>
      <c r="B29" s="544"/>
      <c r="C29" s="142"/>
      <c r="D29" s="36"/>
      <c r="E29" s="36"/>
      <c r="F29" s="144"/>
      <c r="G29" s="542"/>
      <c r="H29" s="544"/>
      <c r="I29" s="544"/>
      <c r="J29" s="544"/>
      <c r="K29" s="544"/>
      <c r="L29" s="544"/>
      <c r="M29" s="37"/>
      <c r="N29" s="214"/>
    </row>
    <row r="30" spans="1:14" s="29" customFormat="1" ht="15" customHeight="1" x14ac:dyDescent="0.3">
      <c r="A30" s="116">
        <v>30</v>
      </c>
      <c r="B30" s="36"/>
      <c r="C30" s="142" t="s">
        <v>498</v>
      </c>
      <c r="D30" s="36"/>
      <c r="E30" s="36"/>
      <c r="F30" s="144"/>
      <c r="G30" s="542"/>
      <c r="H30" s="542"/>
      <c r="I30" s="544"/>
      <c r="J30" s="542"/>
      <c r="K30" s="544"/>
      <c r="L30" s="544"/>
      <c r="M30" s="34"/>
      <c r="N30" s="214"/>
    </row>
    <row r="31" spans="1:14" s="29" customFormat="1" ht="15" customHeight="1" x14ac:dyDescent="0.3">
      <c r="A31" s="116">
        <v>31</v>
      </c>
      <c r="B31" s="36"/>
      <c r="C31" s="142"/>
      <c r="D31" s="36"/>
      <c r="E31" s="36"/>
      <c r="F31" s="144"/>
      <c r="G31" s="542"/>
      <c r="H31" s="544"/>
      <c r="I31" s="379" t="s">
        <v>127</v>
      </c>
      <c r="J31" s="379" t="s">
        <v>360</v>
      </c>
      <c r="K31" s="544"/>
      <c r="L31" s="544"/>
      <c r="M31" s="34"/>
      <c r="N31" s="214"/>
    </row>
    <row r="32" spans="1:14" s="29" customFormat="1" ht="15" customHeight="1" x14ac:dyDescent="0.3">
      <c r="A32" s="116">
        <v>32</v>
      </c>
      <c r="B32" s="544"/>
      <c r="C32" s="142"/>
      <c r="D32" s="36"/>
      <c r="E32" s="36"/>
      <c r="F32" s="144" t="s">
        <v>117</v>
      </c>
      <c r="G32" s="542"/>
      <c r="H32" s="544"/>
      <c r="I32" s="1">
        <f>'S3.Regulatory Profit'!T15</f>
        <v>17171.222980000002</v>
      </c>
      <c r="J32" s="344">
        <f t="shared" ref="J32:J37" si="0">IF($I$38&lt;&gt;0,I32/$I$38,0)</f>
        <v>0.28319514656152528</v>
      </c>
      <c r="K32" s="544"/>
      <c r="L32" s="544"/>
      <c r="M32" s="37"/>
      <c r="N32" s="214" t="s">
        <v>580</v>
      </c>
    </row>
    <row r="33" spans="1:14" s="29" customFormat="1" ht="15" customHeight="1" x14ac:dyDescent="0.3">
      <c r="A33" s="116">
        <v>33</v>
      </c>
      <c r="B33" s="544"/>
      <c r="C33" s="142"/>
      <c r="D33" s="36"/>
      <c r="E33" s="36"/>
      <c r="F33" s="287" t="s">
        <v>790</v>
      </c>
      <c r="G33" s="292"/>
      <c r="H33" s="88"/>
      <c r="I33" s="1">
        <f>'S3.Regulatory Profit'!T17</f>
        <v>18135.095999999998</v>
      </c>
      <c r="J33" s="344">
        <f t="shared" si="0"/>
        <v>0.29909175226535495</v>
      </c>
      <c r="K33" s="544"/>
      <c r="L33" s="544"/>
      <c r="M33" s="37"/>
      <c r="N33" s="214" t="s">
        <v>580</v>
      </c>
    </row>
    <row r="34" spans="1:14" s="29" customFormat="1" ht="15" customHeight="1" x14ac:dyDescent="0.3">
      <c r="A34" s="116">
        <v>34</v>
      </c>
      <c r="B34" s="36"/>
      <c r="C34" s="142"/>
      <c r="D34" s="36"/>
      <c r="E34" s="36"/>
      <c r="F34" s="144" t="s">
        <v>161</v>
      </c>
      <c r="G34" s="542"/>
      <c r="H34" s="544"/>
      <c r="I34" s="1">
        <f>'S3.Regulatory Profit'!T21</f>
        <v>12243.756617927396</v>
      </c>
      <c r="J34" s="344">
        <f t="shared" si="0"/>
        <v>0.20192926583716134</v>
      </c>
      <c r="K34" s="544"/>
      <c r="L34" s="544"/>
      <c r="M34" s="34"/>
      <c r="N34" s="214" t="s">
        <v>580</v>
      </c>
    </row>
    <row r="35" spans="1:14" s="29" customFormat="1" ht="15" customHeight="1" x14ac:dyDescent="0.3">
      <c r="A35" s="116">
        <v>35</v>
      </c>
      <c r="B35" s="544"/>
      <c r="C35" s="142"/>
      <c r="D35" s="36"/>
      <c r="E35" s="36"/>
      <c r="F35" s="144" t="s">
        <v>387</v>
      </c>
      <c r="G35" s="542"/>
      <c r="H35" s="544"/>
      <c r="I35" s="1">
        <f>'S3.Regulatory Profit'!T23</f>
        <v>1968.8855999999819</v>
      </c>
      <c r="J35" s="344">
        <f t="shared" si="0"/>
        <v>3.247170260990178E-2</v>
      </c>
      <c r="K35" s="544"/>
      <c r="L35" s="544"/>
      <c r="M35" s="37"/>
      <c r="N35" s="214" t="s">
        <v>580</v>
      </c>
    </row>
    <row r="36" spans="1:14" s="29" customFormat="1" ht="15" customHeight="1" x14ac:dyDescent="0.3">
      <c r="A36" s="116">
        <v>36</v>
      </c>
      <c r="B36" s="544"/>
      <c r="C36" s="142"/>
      <c r="D36" s="36"/>
      <c r="E36" s="36"/>
      <c r="F36" s="144" t="s">
        <v>132</v>
      </c>
      <c r="G36" s="542"/>
      <c r="H36" s="544"/>
      <c r="I36" s="1">
        <f>'S3.Regulatory Profit'!T29</f>
        <v>3693.103734077954</v>
      </c>
      <c r="J36" s="344">
        <f t="shared" si="0"/>
        <v>6.0908244826666527E-2</v>
      </c>
      <c r="K36" s="544"/>
      <c r="L36" s="544"/>
      <c r="M36" s="37"/>
      <c r="N36" s="214" t="s">
        <v>580</v>
      </c>
    </row>
    <row r="37" spans="1:14" s="29" customFormat="1" ht="15" customHeight="1" x14ac:dyDescent="0.3">
      <c r="A37" s="116">
        <v>37</v>
      </c>
      <c r="B37" s="544"/>
      <c r="C37" s="142"/>
      <c r="D37" s="36"/>
      <c r="E37" s="36"/>
      <c r="F37" s="144" t="s">
        <v>907</v>
      </c>
      <c r="G37" s="542"/>
      <c r="H37" s="544"/>
      <c r="I37" s="1">
        <f>'S3.Regulatory Profit'!T31</f>
        <v>11359.594907994633</v>
      </c>
      <c r="J37" s="344">
        <f t="shared" si="0"/>
        <v>0.18734729311919376</v>
      </c>
      <c r="K37" s="544"/>
      <c r="L37" s="544"/>
      <c r="M37" s="37"/>
      <c r="N37" s="214" t="s">
        <v>580</v>
      </c>
    </row>
    <row r="38" spans="1:14" s="29" customFormat="1" ht="15" customHeight="1" x14ac:dyDescent="0.3">
      <c r="A38" s="116">
        <v>38</v>
      </c>
      <c r="B38" s="36"/>
      <c r="C38" s="142"/>
      <c r="D38" s="36"/>
      <c r="E38" s="117" t="s">
        <v>160</v>
      </c>
      <c r="F38" s="144"/>
      <c r="G38" s="542"/>
      <c r="H38" s="544"/>
      <c r="I38" s="1">
        <f>'S3.Regulatory Profit'!T13</f>
        <v>60633.888639999997</v>
      </c>
      <c r="J38" s="36"/>
      <c r="K38" s="544"/>
      <c r="L38" s="544"/>
      <c r="M38" s="34"/>
      <c r="N38" s="214" t="s">
        <v>580</v>
      </c>
    </row>
    <row r="39" spans="1:14" s="29" customFormat="1" ht="15" customHeight="1" x14ac:dyDescent="0.3">
      <c r="A39" s="116">
        <v>39</v>
      </c>
      <c r="B39" s="544"/>
      <c r="C39" s="142"/>
      <c r="D39" s="36"/>
      <c r="E39" s="36"/>
      <c r="F39" s="287"/>
      <c r="G39" s="542"/>
      <c r="H39" s="36"/>
      <c r="I39" s="36"/>
      <c r="J39" s="544"/>
      <c r="K39" s="544"/>
      <c r="L39" s="544"/>
      <c r="M39" s="37"/>
      <c r="N39" s="214"/>
    </row>
    <row r="40" spans="1:14" s="29" customFormat="1" ht="15" customHeight="1" x14ac:dyDescent="0.3">
      <c r="A40" s="116">
        <v>40</v>
      </c>
      <c r="B40" s="544"/>
      <c r="C40" s="142" t="s">
        <v>499</v>
      </c>
      <c r="D40" s="36"/>
      <c r="E40" s="36"/>
      <c r="F40" s="144"/>
      <c r="G40" s="542"/>
      <c r="H40" s="36"/>
      <c r="I40" s="36"/>
      <c r="J40" s="544"/>
      <c r="K40" s="544"/>
      <c r="L40" s="544"/>
      <c r="M40" s="37"/>
      <c r="N40" s="214"/>
    </row>
    <row r="41" spans="1:14" s="127" customFormat="1" ht="15" customHeight="1" x14ac:dyDescent="0.3">
      <c r="A41" s="116">
        <v>41</v>
      </c>
      <c r="B41" s="544"/>
      <c r="C41" s="142"/>
      <c r="D41" s="36"/>
      <c r="E41" s="36"/>
      <c r="F41" s="144"/>
      <c r="G41" s="542"/>
      <c r="H41" s="36"/>
      <c r="I41" s="288"/>
      <c r="J41" s="544"/>
      <c r="K41" s="544"/>
      <c r="L41" s="544"/>
      <c r="M41" s="37"/>
      <c r="N41" s="214"/>
    </row>
    <row r="42" spans="1:14" s="29" customFormat="1" ht="15" customHeight="1" x14ac:dyDescent="0.2">
      <c r="A42" s="116">
        <v>42</v>
      </c>
      <c r="B42" s="36"/>
      <c r="C42" s="36"/>
      <c r="D42" s="36"/>
      <c r="E42" s="117"/>
      <c r="F42" s="144" t="s">
        <v>466</v>
      </c>
      <c r="G42" s="542"/>
      <c r="H42" s="36"/>
      <c r="I42" s="338">
        <f>IF('S9c.Overhead Lines'!I18&lt;&gt;0,'S10.Reliability'!G19/('S9c.Overhead Lines'!I18/100),0)</f>
        <v>7.9990671641791042</v>
      </c>
      <c r="J42" s="289" t="s">
        <v>361</v>
      </c>
      <c r="K42" s="88"/>
      <c r="L42" s="544"/>
      <c r="M42" s="34"/>
      <c r="N42" s="214" t="s">
        <v>604</v>
      </c>
    </row>
    <row r="43" spans="1:14" s="29" customFormat="1" ht="15" customHeight="1" x14ac:dyDescent="0.2">
      <c r="A43" s="39"/>
      <c r="B43" s="40"/>
      <c r="C43" s="41"/>
      <c r="D43" s="42"/>
      <c r="E43" s="42"/>
      <c r="F43" s="43"/>
      <c r="G43" s="41"/>
      <c r="H43" s="40"/>
      <c r="I43" s="40"/>
      <c r="J43" s="40"/>
      <c r="K43" s="40"/>
      <c r="L43" s="40"/>
      <c r="M43" s="44"/>
      <c r="N43" s="214"/>
    </row>
  </sheetData>
  <sheetProtection sheet="1" objects="1" formatRows="0" insertRows="0"/>
  <customSheetViews>
    <customSheetView guid="{21F2E024-704F-4E93-AC63-213755ECFFE0}" scale="70" showPageBreaks="1" showGridLines="0" view="pageBreakPreview">
      <pane ySplit="6" topLeftCell="A7" activePane="bottomLeft" state="frozen"/>
      <selection pane="bottomLeft" activeCell="Q26" sqref="Q26"/>
      <colBreaks count="1" manualBreakCount="1">
        <brk id="13" max="1048575" man="1"/>
      </colBreaks>
      <pageMargins left="0.70866141732283472" right="0.70866141732283472" top="0.74803149606299213" bottom="0.74803149606299213" header="0.31496062992125984" footer="0.31496062992125984"/>
      <pageSetup paperSize="9" scale="64" orientation="portrait" r:id="rId1"/>
    </customSheetView>
  </customSheetViews>
  <mergeCells count="3">
    <mergeCell ref="A5:L5"/>
    <mergeCell ref="J2:L2"/>
    <mergeCell ref="J3:L3"/>
  </mergeCells>
  <pageMargins left="0.70866141732283472" right="0.70866141732283472" top="0.74803149606299213" bottom="0.74803149606299213" header="0.31496062992125989" footer="0.31496062992125989"/>
  <pageSetup paperSize="9" scale="63" fitToHeight="2" orientation="portrait" r:id="rId2"/>
  <headerFooter alignWithMargins="0">
    <oddHeader>&amp;CCommerce Commission Information Disclosure Template</oddHeader>
    <oddFooter>&amp;L&amp;F&amp;C&amp;P&amp;R&amp;A</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9CCFF"/>
    <pageSetUpPr fitToPage="1"/>
  </sheetPr>
  <dimension ref="A1:X122"/>
  <sheetViews>
    <sheetView showGridLines="0" topLeftCell="C1" zoomScaleNormal="100" zoomScaleSheetLayoutView="100" workbookViewId="0">
      <selection activeCell="O116" sqref="O116"/>
    </sheetView>
  </sheetViews>
  <sheetFormatPr defaultColWidth="9.140625" defaultRowHeight="12.75" x14ac:dyDescent="0.2"/>
  <cols>
    <col min="1" max="1" width="5.28515625" style="27" customWidth="1"/>
    <col min="2" max="2" width="3.140625" style="27" customWidth="1"/>
    <col min="3" max="3" width="6.140625" style="27" customWidth="1"/>
    <col min="4" max="5" width="2.28515625" style="27" customWidth="1"/>
    <col min="6" max="6" width="27.85546875" style="27" customWidth="1"/>
    <col min="7" max="7" width="16.7109375" style="250" customWidth="1"/>
    <col min="8" max="8" width="6.5703125" style="27" hidden="1" customWidth="1"/>
    <col min="9" max="10" width="16.7109375" style="27" hidden="1" customWidth="1"/>
    <col min="11" max="13" width="16.7109375" style="27" customWidth="1"/>
    <col min="14" max="14" width="2.7109375" style="27" customWidth="1"/>
    <col min="15" max="15" width="52.28515625" style="214" customWidth="1"/>
    <col min="16" max="16" width="42.5703125" style="114" customWidth="1"/>
    <col min="17" max="17" width="15.42578125" style="114" customWidth="1"/>
    <col min="18" max="18" width="17" style="114" customWidth="1"/>
    <col min="19" max="20" width="24.85546875" style="114" customWidth="1"/>
    <col min="21" max="24" width="24.85546875" style="27" customWidth="1"/>
    <col min="25" max="16384" width="9.140625" style="27"/>
  </cols>
  <sheetData>
    <row r="1" spans="1:20" s="33" customFormat="1" ht="15" customHeight="1" x14ac:dyDescent="0.2">
      <c r="A1" s="554"/>
      <c r="B1" s="546"/>
      <c r="C1" s="546"/>
      <c r="D1" s="546"/>
      <c r="E1" s="546"/>
      <c r="F1" s="546"/>
      <c r="G1" s="546"/>
      <c r="H1" s="546"/>
      <c r="I1" s="546"/>
      <c r="J1" s="546"/>
      <c r="K1" s="546"/>
      <c r="L1" s="546"/>
      <c r="M1" s="546"/>
      <c r="N1" s="547"/>
      <c r="O1" s="214"/>
      <c r="P1" s="267"/>
      <c r="Q1" s="267"/>
      <c r="R1" s="267"/>
      <c r="S1" s="267"/>
      <c r="T1" s="267"/>
    </row>
    <row r="2" spans="1:20" s="33" customFormat="1" ht="18" customHeight="1" x14ac:dyDescent="0.3">
      <c r="A2" s="48"/>
      <c r="B2" s="49"/>
      <c r="C2" s="49"/>
      <c r="D2" s="49"/>
      <c r="E2" s="49"/>
      <c r="F2" s="49"/>
      <c r="G2" s="49"/>
      <c r="H2" s="49"/>
      <c r="I2" s="49"/>
      <c r="J2" s="94" t="s">
        <v>8</v>
      </c>
      <c r="K2" s="614" t="str">
        <f>IF(NOT(ISBLANK(CoverSheet!$C$8)),CoverSheet!$C$8,"")</f>
        <v>Alpine Energy Limited</v>
      </c>
      <c r="L2" s="615"/>
      <c r="M2" s="616"/>
      <c r="N2" s="52"/>
      <c r="O2" s="214"/>
      <c r="P2" s="285"/>
      <c r="Q2" s="267"/>
      <c r="R2" s="267"/>
      <c r="S2" s="267"/>
      <c r="T2" s="267"/>
    </row>
    <row r="3" spans="1:20" s="33" customFormat="1" ht="18" customHeight="1" x14ac:dyDescent="0.25">
      <c r="A3" s="48"/>
      <c r="B3" s="49"/>
      <c r="C3" s="49"/>
      <c r="D3" s="49"/>
      <c r="E3" s="49"/>
      <c r="F3" s="49"/>
      <c r="G3" s="49"/>
      <c r="H3" s="49"/>
      <c r="I3" s="49"/>
      <c r="J3" s="94" t="s">
        <v>393</v>
      </c>
      <c r="K3" s="612">
        <f>IF(ISNUMBER(CoverSheet!$C$12),CoverSheet!$C$12,"")</f>
        <v>43190</v>
      </c>
      <c r="L3" s="612"/>
      <c r="M3" s="612"/>
      <c r="N3" s="52"/>
      <c r="O3" s="214"/>
      <c r="P3"/>
      <c r="Q3"/>
      <c r="R3"/>
      <c r="S3" s="267"/>
      <c r="T3" s="267"/>
    </row>
    <row r="4" spans="1:20" s="33" customFormat="1" ht="20.25" customHeight="1" x14ac:dyDescent="0.35">
      <c r="A4" s="545" t="s">
        <v>516</v>
      </c>
      <c r="B4" s="49"/>
      <c r="C4" s="49"/>
      <c r="D4" s="49"/>
      <c r="E4" s="49"/>
      <c r="F4" s="49"/>
      <c r="G4" s="49"/>
      <c r="H4" s="49"/>
      <c r="I4" s="49"/>
      <c r="J4" s="362"/>
      <c r="K4" s="49"/>
      <c r="L4" s="49"/>
      <c r="M4" s="49"/>
      <c r="N4" s="52"/>
      <c r="O4" s="214"/>
      <c r="P4"/>
      <c r="Q4"/>
      <c r="R4"/>
      <c r="S4" s="267"/>
      <c r="T4" s="267"/>
    </row>
    <row r="5" spans="1:20" ht="69" customHeight="1" x14ac:dyDescent="0.2">
      <c r="A5" s="609" t="s">
        <v>543</v>
      </c>
      <c r="B5" s="613"/>
      <c r="C5" s="613"/>
      <c r="D5" s="613"/>
      <c r="E5" s="613"/>
      <c r="F5" s="613"/>
      <c r="G5" s="613"/>
      <c r="H5" s="613"/>
      <c r="I5" s="613"/>
      <c r="J5" s="613"/>
      <c r="K5" s="613"/>
      <c r="L5" s="613"/>
      <c r="M5" s="613"/>
      <c r="N5" s="95"/>
      <c r="P5"/>
      <c r="Q5"/>
      <c r="R5"/>
      <c r="S5" s="267"/>
      <c r="T5" s="286"/>
    </row>
    <row r="6" spans="1:20" s="33" customFormat="1" ht="15" customHeight="1" x14ac:dyDescent="0.2">
      <c r="A6" s="87" t="s">
        <v>623</v>
      </c>
      <c r="B6" s="362"/>
      <c r="C6" s="53"/>
      <c r="D6" s="49"/>
      <c r="E6" s="49"/>
      <c r="F6" s="49"/>
      <c r="G6" s="49"/>
      <c r="H6" s="49"/>
      <c r="I6" s="49"/>
      <c r="J6" s="49"/>
      <c r="K6" s="49"/>
      <c r="L6" s="49"/>
      <c r="M6" s="49"/>
      <c r="N6" s="52"/>
      <c r="O6" s="214"/>
      <c r="P6" s="284"/>
      <c r="Q6" s="267"/>
      <c r="R6" s="267"/>
      <c r="S6" s="267"/>
      <c r="T6" s="267"/>
    </row>
    <row r="7" spans="1:20" ht="30" customHeight="1" x14ac:dyDescent="0.3">
      <c r="A7" s="116">
        <v>7</v>
      </c>
      <c r="B7" s="451"/>
      <c r="C7" s="142" t="s">
        <v>517</v>
      </c>
      <c r="D7" s="145"/>
      <c r="E7" s="117"/>
      <c r="F7" s="441"/>
      <c r="G7" s="441"/>
      <c r="H7" s="441"/>
      <c r="I7" s="441"/>
      <c r="J7" s="172"/>
      <c r="K7" s="436" t="s">
        <v>120</v>
      </c>
      <c r="L7" s="436" t="s">
        <v>121</v>
      </c>
      <c r="M7" s="436" t="s">
        <v>122</v>
      </c>
      <c r="N7" s="37"/>
      <c r="P7" s="284"/>
      <c r="Q7" s="267"/>
      <c r="R7" s="267"/>
      <c r="S7" s="267"/>
      <c r="T7" s="268"/>
    </row>
    <row r="8" spans="1:20" x14ac:dyDescent="0.2">
      <c r="A8" s="116">
        <v>8</v>
      </c>
      <c r="B8" s="451"/>
      <c r="C8" s="442"/>
      <c r="D8" s="207"/>
      <c r="E8" s="168"/>
      <c r="F8" s="169"/>
      <c r="G8" s="169"/>
      <c r="H8" s="169"/>
      <c r="I8" s="169"/>
      <c r="J8" s="170" t="str">
        <f>IF(ISNUMBER(CoverSheet!#REF!),"for year ended","")</f>
        <v/>
      </c>
      <c r="K8" s="358">
        <f>IF(ISNUMBER(CoverSheet!$C$12),DATE(YEAR(CoverSheet!$C$12)-2,MONTH(CoverSheet!$C$12),DAY(CoverSheet!$C$12)),"")</f>
        <v>42460</v>
      </c>
      <c r="L8" s="358">
        <f>IF(ISNUMBER(CoverSheet!$C$12),DATE(YEAR(CoverSheet!$C$12)-1,MONTH(CoverSheet!$C$12),DAY(CoverSheet!$C$12)),"")</f>
        <v>42825</v>
      </c>
      <c r="M8" s="358">
        <f>IF(ISNUMBER(CoverSheet!$C$12),CoverSheet!$C$12,"")</f>
        <v>43190</v>
      </c>
      <c r="N8" s="37"/>
      <c r="P8" s="382" t="s">
        <v>874</v>
      </c>
      <c r="Q8" s="383"/>
      <c r="R8" s="383"/>
      <c r="S8" s="384"/>
      <c r="T8" s="268"/>
    </row>
    <row r="9" spans="1:20" ht="16.5" thickBot="1" x14ac:dyDescent="0.3">
      <c r="A9" s="116">
        <v>9</v>
      </c>
      <c r="B9" s="451"/>
      <c r="C9" s="442"/>
      <c r="D9" s="167" t="s">
        <v>684</v>
      </c>
      <c r="E9" s="168"/>
      <c r="F9" s="169"/>
      <c r="G9" s="169"/>
      <c r="H9" s="169"/>
      <c r="I9" s="169"/>
      <c r="J9" s="169"/>
      <c r="K9" s="436" t="s">
        <v>12</v>
      </c>
      <c r="L9" s="436" t="s">
        <v>12</v>
      </c>
      <c r="M9" s="436" t="s">
        <v>12</v>
      </c>
      <c r="N9" s="37"/>
      <c r="O9"/>
      <c r="P9" s="385"/>
      <c r="Q9" s="268"/>
      <c r="R9" s="268"/>
      <c r="S9" s="386"/>
      <c r="T9" s="268"/>
    </row>
    <row r="10" spans="1:20" ht="15" customHeight="1" thickBot="1" x14ac:dyDescent="0.25">
      <c r="A10" s="116">
        <v>10</v>
      </c>
      <c r="B10" s="451"/>
      <c r="C10" s="442"/>
      <c r="D10" s="207"/>
      <c r="E10" s="224" t="s">
        <v>915</v>
      </c>
      <c r="F10" s="294"/>
      <c r="G10" s="294"/>
      <c r="H10" s="169"/>
      <c r="I10" s="169"/>
      <c r="J10" s="169"/>
      <c r="K10" s="574">
        <v>4.9200000000000001E-2</v>
      </c>
      <c r="L10" s="574">
        <v>7.1199999999999999E-2</v>
      </c>
      <c r="M10" s="374">
        <f>M59</f>
        <v>5.6057405797386169E-2</v>
      </c>
      <c r="N10" s="37"/>
      <c r="O10" s="214" t="s">
        <v>788</v>
      </c>
      <c r="P10" s="391" t="s">
        <v>854</v>
      </c>
      <c r="Q10" s="268"/>
      <c r="R10" s="268"/>
      <c r="S10" s="386"/>
      <c r="T10" s="268"/>
    </row>
    <row r="11" spans="1:20" s="269" customFormat="1" ht="15" customHeight="1" x14ac:dyDescent="0.2">
      <c r="A11" s="116">
        <v>11</v>
      </c>
      <c r="B11" s="451"/>
      <c r="C11" s="442"/>
      <c r="D11" s="207"/>
      <c r="E11" s="224" t="s">
        <v>773</v>
      </c>
      <c r="F11" s="294"/>
      <c r="G11" s="294"/>
      <c r="H11" s="169"/>
      <c r="I11" s="169"/>
      <c r="J11" s="169"/>
      <c r="K11" s="575">
        <v>4.9200000000000001E-2</v>
      </c>
      <c r="L11" s="575">
        <v>7.1199999999999999E-2</v>
      </c>
      <c r="M11" s="560">
        <f>M21-($M$55*$M$56*$M$57)</f>
        <v>5.6361723271751395E-2</v>
      </c>
      <c r="N11" s="37"/>
      <c r="O11" s="214" t="s">
        <v>866</v>
      </c>
      <c r="P11" s="391" t="s">
        <v>855</v>
      </c>
      <c r="Q11" s="268"/>
      <c r="R11" s="268"/>
      <c r="S11" s="386"/>
      <c r="T11" s="268"/>
    </row>
    <row r="12" spans="1:20" s="269" customFormat="1" ht="15" customHeight="1" x14ac:dyDescent="0.2">
      <c r="A12" s="116">
        <v>12</v>
      </c>
      <c r="B12" s="451"/>
      <c r="C12" s="442"/>
      <c r="D12" s="207"/>
      <c r="E12" s="224" t="s">
        <v>774</v>
      </c>
      <c r="F12" s="294"/>
      <c r="G12" s="294"/>
      <c r="H12" s="169"/>
      <c r="I12" s="169"/>
      <c r="J12" s="169"/>
      <c r="K12" s="576">
        <v>2.7099999999999999E-2</v>
      </c>
      <c r="L12" s="576">
        <v>4.5699999999999998E-2</v>
      </c>
      <c r="M12" s="558">
        <f>M22-($M$55*$M$56*$M$57)</f>
        <v>3.1800318089866643E-2</v>
      </c>
      <c r="N12" s="37"/>
      <c r="O12" s="214" t="s">
        <v>867</v>
      </c>
      <c r="P12" s="391" t="s">
        <v>856</v>
      </c>
      <c r="Q12" s="268"/>
      <c r="R12" s="268"/>
      <c r="S12" s="386"/>
      <c r="T12" s="268"/>
    </row>
    <row r="13" spans="1:20" ht="15" customHeight="1" thickBot="1" x14ac:dyDescent="0.25">
      <c r="A13" s="116">
        <v>13</v>
      </c>
      <c r="B13" s="451"/>
      <c r="C13" s="442"/>
      <c r="D13" s="207"/>
      <c r="E13" s="168"/>
      <c r="F13" s="224"/>
      <c r="G13" s="224"/>
      <c r="H13" s="169"/>
      <c r="I13" s="169"/>
      <c r="J13" s="169"/>
      <c r="K13" s="257"/>
      <c r="L13" s="257"/>
      <c r="M13" s="257"/>
      <c r="N13" s="37"/>
      <c r="P13" s="14"/>
      <c r="Q13" s="115"/>
      <c r="R13" s="268"/>
      <c r="S13" s="386"/>
      <c r="T13" s="268"/>
    </row>
    <row r="14" spans="1:20" ht="15" customHeight="1" thickBot="1" x14ac:dyDescent="0.25">
      <c r="A14" s="116">
        <v>14</v>
      </c>
      <c r="B14" s="451"/>
      <c r="C14" s="442"/>
      <c r="D14" s="207"/>
      <c r="E14" s="168" t="s">
        <v>123</v>
      </c>
      <c r="F14" s="224"/>
      <c r="G14" s="224"/>
      <c r="H14" s="169"/>
      <c r="I14" s="169"/>
      <c r="J14" s="169"/>
      <c r="K14" s="574">
        <v>5.3699999999999998E-2</v>
      </c>
      <c r="L14" s="574">
        <v>4.7699999999999999E-2</v>
      </c>
      <c r="M14" s="574">
        <v>5.04E-2</v>
      </c>
      <c r="N14" s="37"/>
      <c r="O14" s="579" t="s">
        <v>929</v>
      </c>
      <c r="P14" s="391" t="s">
        <v>857</v>
      </c>
      <c r="Q14" s="115"/>
      <c r="R14" s="268"/>
      <c r="S14" s="386"/>
      <c r="T14" s="268"/>
    </row>
    <row r="15" spans="1:20" ht="15" customHeight="1" x14ac:dyDescent="0.2">
      <c r="A15" s="116">
        <v>15</v>
      </c>
      <c r="B15" s="451"/>
      <c r="C15" s="442"/>
      <c r="D15" s="207"/>
      <c r="E15" s="168"/>
      <c r="F15" s="224" t="s">
        <v>124</v>
      </c>
      <c r="G15" s="224"/>
      <c r="H15" s="169"/>
      <c r="I15" s="169"/>
      <c r="J15" s="169"/>
      <c r="K15" s="577">
        <v>4.6600000000000003E-2</v>
      </c>
      <c r="L15" s="577">
        <v>4.0500000000000001E-2</v>
      </c>
      <c r="M15" s="577">
        <v>4.36E-2</v>
      </c>
      <c r="N15" s="37"/>
      <c r="O15" s="579" t="s">
        <v>929</v>
      </c>
      <c r="P15" s="391" t="s">
        <v>858</v>
      </c>
      <c r="Q15" s="115"/>
      <c r="R15" s="268"/>
      <c r="S15" s="386"/>
      <c r="T15" s="268"/>
    </row>
    <row r="16" spans="1:20" ht="15" customHeight="1" x14ac:dyDescent="0.2">
      <c r="A16" s="116">
        <v>16</v>
      </c>
      <c r="B16" s="451"/>
      <c r="C16" s="442"/>
      <c r="D16" s="207"/>
      <c r="E16" s="168"/>
      <c r="F16" s="224" t="s">
        <v>125</v>
      </c>
      <c r="G16" s="224"/>
      <c r="H16" s="169"/>
      <c r="I16" s="169"/>
      <c r="J16" s="169"/>
      <c r="K16" s="578">
        <v>6.0900000000000003E-2</v>
      </c>
      <c r="L16" s="578">
        <v>5.4800000000000001E-2</v>
      </c>
      <c r="M16" s="578">
        <v>5.7200000000000001E-2</v>
      </c>
      <c r="N16" s="37"/>
      <c r="O16" s="579" t="s">
        <v>929</v>
      </c>
      <c r="P16" s="391" t="s">
        <v>859</v>
      </c>
      <c r="Q16" s="115"/>
      <c r="R16" s="268"/>
      <c r="S16" s="386"/>
      <c r="T16" s="268"/>
    </row>
    <row r="17" spans="1:20" ht="15" customHeight="1" x14ac:dyDescent="0.2">
      <c r="A17" s="116">
        <v>17</v>
      </c>
      <c r="B17" s="451"/>
      <c r="C17" s="442"/>
      <c r="D17" s="207"/>
      <c r="E17" s="168"/>
      <c r="F17" s="224"/>
      <c r="G17" s="224"/>
      <c r="H17" s="169"/>
      <c r="I17" s="169"/>
      <c r="J17" s="169"/>
      <c r="K17" s="437"/>
      <c r="L17" s="437"/>
      <c r="M17" s="437"/>
      <c r="N17" s="37"/>
      <c r="P17" s="387"/>
      <c r="Q17" s="115"/>
      <c r="R17" s="268"/>
      <c r="S17" s="386"/>
      <c r="T17" s="268"/>
    </row>
    <row r="18" spans="1:20" x14ac:dyDescent="0.2">
      <c r="A18" s="116">
        <v>18</v>
      </c>
      <c r="B18" s="451"/>
      <c r="C18" s="442"/>
      <c r="D18" s="207"/>
      <c r="E18" s="168"/>
      <c r="F18" s="224"/>
      <c r="G18" s="224"/>
      <c r="H18" s="169"/>
      <c r="I18" s="169"/>
      <c r="J18" s="169"/>
      <c r="K18" s="169"/>
      <c r="L18" s="169"/>
      <c r="M18" s="169"/>
      <c r="N18" s="37"/>
      <c r="P18" s="387"/>
      <c r="Q18" s="115"/>
      <c r="R18" s="268"/>
      <c r="S18" s="386"/>
      <c r="T18" s="268"/>
    </row>
    <row r="19" spans="1:20" ht="16.5" thickBot="1" x14ac:dyDescent="0.3">
      <c r="A19" s="116">
        <v>19</v>
      </c>
      <c r="B19" s="451"/>
      <c r="C19" s="442"/>
      <c r="D19" s="167" t="s">
        <v>685</v>
      </c>
      <c r="E19" s="168"/>
      <c r="F19" s="224"/>
      <c r="G19" s="224"/>
      <c r="H19" s="169"/>
      <c r="I19" s="169"/>
      <c r="J19" s="169"/>
      <c r="K19" s="169"/>
      <c r="L19" s="169"/>
      <c r="M19" s="169"/>
      <c r="N19" s="37"/>
      <c r="P19" s="387"/>
      <c r="Q19" s="115"/>
      <c r="R19" s="268"/>
      <c r="S19" s="386"/>
      <c r="T19" s="268"/>
    </row>
    <row r="20" spans="1:20" ht="15" customHeight="1" thickBot="1" x14ac:dyDescent="0.25">
      <c r="A20" s="116">
        <v>20</v>
      </c>
      <c r="B20" s="451"/>
      <c r="C20" s="442"/>
      <c r="D20" s="207"/>
      <c r="E20" s="224" t="s">
        <v>915</v>
      </c>
      <c r="F20" s="294"/>
      <c r="G20" s="294"/>
      <c r="H20" s="169"/>
      <c r="I20" s="169"/>
      <c r="J20" s="169"/>
      <c r="K20" s="574">
        <v>5.57E-2</v>
      </c>
      <c r="L20" s="574">
        <v>7.6600000000000001E-2</v>
      </c>
      <c r="M20" s="374">
        <f>M53</f>
        <v>6.1971005797386167E-2</v>
      </c>
      <c r="N20" s="37"/>
      <c r="O20" s="214" t="s">
        <v>789</v>
      </c>
      <c r="P20" s="391" t="s">
        <v>860</v>
      </c>
      <c r="Q20" s="115"/>
      <c r="R20" s="268"/>
      <c r="S20" s="386"/>
      <c r="T20" s="268"/>
    </row>
    <row r="21" spans="1:20" s="269" customFormat="1" ht="15" customHeight="1" x14ac:dyDescent="0.2">
      <c r="A21" s="116">
        <v>21</v>
      </c>
      <c r="B21" s="451"/>
      <c r="C21" s="442"/>
      <c r="D21" s="207"/>
      <c r="E21" s="224" t="s">
        <v>773</v>
      </c>
      <c r="F21" s="294"/>
      <c r="G21" s="294"/>
      <c r="H21" s="169"/>
      <c r="I21" s="169"/>
      <c r="J21" s="169"/>
      <c r="K21" s="575">
        <v>5.57E-2</v>
      </c>
      <c r="L21" s="575">
        <v>7.6600000000000001E-2</v>
      </c>
      <c r="M21" s="560">
        <f>IF(K32=0,0,V48)</f>
        <v>6.2275323271751393E-2</v>
      </c>
      <c r="N21" s="37"/>
      <c r="O21" s="214" t="s">
        <v>871</v>
      </c>
      <c r="P21" s="391" t="s">
        <v>861</v>
      </c>
      <c r="Q21" s="268"/>
      <c r="R21" s="268"/>
      <c r="S21" s="386"/>
      <c r="T21" s="268"/>
    </row>
    <row r="22" spans="1:20" s="269" customFormat="1" ht="15" customHeight="1" x14ac:dyDescent="0.2">
      <c r="A22" s="116">
        <v>22</v>
      </c>
      <c r="B22" s="451"/>
      <c r="C22" s="442"/>
      <c r="D22" s="207"/>
      <c r="E22" s="224" t="s">
        <v>774</v>
      </c>
      <c r="F22" s="294"/>
      <c r="G22" s="294"/>
      <c r="H22" s="169"/>
      <c r="I22" s="169"/>
      <c r="J22" s="169"/>
      <c r="K22" s="576">
        <v>3.3599999999999998E-2</v>
      </c>
      <c r="L22" s="576">
        <v>5.11E-2</v>
      </c>
      <c r="M22" s="558">
        <f>IF(K32=0,0,X48)</f>
        <v>3.7713918089866641E-2</v>
      </c>
      <c r="N22" s="37"/>
      <c r="O22" s="214" t="s">
        <v>871</v>
      </c>
      <c r="P22" s="391" t="s">
        <v>862</v>
      </c>
      <c r="Q22" s="268"/>
      <c r="R22" s="268"/>
      <c r="S22" s="386"/>
      <c r="T22" s="268"/>
    </row>
    <row r="23" spans="1:20" ht="15" customHeight="1" thickBot="1" x14ac:dyDescent="0.25">
      <c r="A23" s="116">
        <v>23</v>
      </c>
      <c r="B23" s="451"/>
      <c r="C23" s="442"/>
      <c r="D23" s="207"/>
      <c r="E23" s="168"/>
      <c r="F23" s="224"/>
      <c r="G23" s="224"/>
      <c r="H23" s="169"/>
      <c r="I23" s="169"/>
      <c r="J23" s="169"/>
      <c r="K23" s="169"/>
      <c r="L23" s="169"/>
      <c r="M23" s="169"/>
      <c r="N23" s="37"/>
      <c r="P23" s="14"/>
      <c r="Q23" s="115"/>
      <c r="R23" s="268"/>
      <c r="S23" s="386"/>
      <c r="T23" s="268"/>
    </row>
    <row r="24" spans="1:20" s="269" customFormat="1" ht="15" customHeight="1" thickBot="1" x14ac:dyDescent="0.25">
      <c r="A24" s="116">
        <v>24</v>
      </c>
      <c r="B24" s="451"/>
      <c r="C24" s="442"/>
      <c r="D24" s="207"/>
      <c r="E24" s="168" t="s">
        <v>908</v>
      </c>
      <c r="F24" s="224"/>
      <c r="G24" s="224"/>
      <c r="H24" s="169"/>
      <c r="I24" s="169"/>
      <c r="J24" s="169"/>
      <c r="K24" s="373">
        <v>7.1900000000000006E-2</v>
      </c>
      <c r="L24" s="373">
        <v>7.1900000000000006E-2</v>
      </c>
      <c r="M24" s="373">
        <v>7.1900000000000006E-2</v>
      </c>
      <c r="N24" s="37"/>
      <c r="O24" s="579" t="s">
        <v>930</v>
      </c>
      <c r="P24" s="14"/>
      <c r="Q24" s="115"/>
      <c r="R24" s="268"/>
      <c r="S24" s="386"/>
      <c r="T24" s="268"/>
    </row>
    <row r="25" spans="1:20" s="269" customFormat="1" ht="15" customHeight="1" thickBot="1" x14ac:dyDescent="0.25">
      <c r="A25" s="116">
        <v>25</v>
      </c>
      <c r="B25" s="451"/>
      <c r="C25" s="442"/>
      <c r="D25" s="207"/>
      <c r="E25" s="168"/>
      <c r="F25" s="224"/>
      <c r="G25" s="224"/>
      <c r="H25" s="169"/>
      <c r="I25" s="169"/>
      <c r="J25" s="169"/>
      <c r="K25" s="169"/>
      <c r="L25" s="169"/>
      <c r="M25" s="169"/>
      <c r="N25" s="37"/>
      <c r="O25" s="214"/>
      <c r="P25" s="14"/>
      <c r="Q25" s="115"/>
      <c r="R25" s="268"/>
      <c r="S25" s="386"/>
      <c r="T25" s="268"/>
    </row>
    <row r="26" spans="1:20" ht="15" customHeight="1" thickBot="1" x14ac:dyDescent="0.25">
      <c r="A26" s="116">
        <v>26</v>
      </c>
      <c r="B26" s="451"/>
      <c r="C26" s="442"/>
      <c r="D26" s="207"/>
      <c r="E26" s="168" t="s">
        <v>126</v>
      </c>
      <c r="F26" s="224"/>
      <c r="G26" s="224"/>
      <c r="H26" s="169"/>
      <c r="I26" s="169"/>
      <c r="J26" s="169"/>
      <c r="K26" s="373">
        <v>6.0199999999999997E-2</v>
      </c>
      <c r="L26" s="373">
        <v>5.3100000000000001E-2</v>
      </c>
      <c r="M26" s="373">
        <v>5.6000000000000001E-2</v>
      </c>
      <c r="N26" s="37"/>
      <c r="O26" s="579" t="s">
        <v>929</v>
      </c>
      <c r="P26" s="391" t="s">
        <v>863</v>
      </c>
      <c r="Q26" s="115"/>
      <c r="R26" s="268"/>
      <c r="S26" s="386"/>
      <c r="T26" s="268"/>
    </row>
    <row r="27" spans="1:20" ht="15" customHeight="1" x14ac:dyDescent="0.2">
      <c r="A27" s="116">
        <v>27</v>
      </c>
      <c r="B27" s="451"/>
      <c r="C27" s="442"/>
      <c r="D27" s="207"/>
      <c r="E27" s="168"/>
      <c r="F27" s="224" t="s">
        <v>124</v>
      </c>
      <c r="G27" s="224"/>
      <c r="H27" s="169"/>
      <c r="I27" s="169"/>
      <c r="J27" s="169"/>
      <c r="K27" s="561">
        <v>5.2999999999999999E-2</v>
      </c>
      <c r="L27" s="561">
        <v>4.5900000000000003E-2</v>
      </c>
      <c r="M27" s="561">
        <v>4.9200000000000001E-2</v>
      </c>
      <c r="N27" s="37"/>
      <c r="O27" s="579" t="s">
        <v>929</v>
      </c>
      <c r="P27" s="391" t="s">
        <v>864</v>
      </c>
      <c r="Q27" s="115"/>
      <c r="R27" s="110"/>
      <c r="S27" s="15"/>
      <c r="T27" s="268"/>
    </row>
    <row r="28" spans="1:20" ht="15" customHeight="1" x14ac:dyDescent="0.2">
      <c r="A28" s="116">
        <v>28</v>
      </c>
      <c r="B28" s="451"/>
      <c r="C28" s="442"/>
      <c r="D28" s="207"/>
      <c r="E28" s="168"/>
      <c r="F28" s="224" t="s">
        <v>125</v>
      </c>
      <c r="G28" s="224"/>
      <c r="H28" s="169"/>
      <c r="I28" s="169"/>
      <c r="J28" s="169"/>
      <c r="K28" s="559">
        <v>6.7400000000000002E-2</v>
      </c>
      <c r="L28" s="559">
        <v>6.0299999999999999E-2</v>
      </c>
      <c r="M28" s="559">
        <v>6.2899999999999998E-2</v>
      </c>
      <c r="N28" s="37"/>
      <c r="O28" s="579" t="s">
        <v>929</v>
      </c>
      <c r="P28" s="391" t="s">
        <v>865</v>
      </c>
      <c r="Q28" s="115"/>
      <c r="R28" s="268"/>
      <c r="S28" s="386"/>
      <c r="T28" s="268"/>
    </row>
    <row r="29" spans="1:20" x14ac:dyDescent="0.2">
      <c r="A29" s="116">
        <v>29</v>
      </c>
      <c r="B29" s="451"/>
      <c r="C29" s="442"/>
      <c r="D29" s="207"/>
      <c r="E29" s="168"/>
      <c r="F29" s="224"/>
      <c r="G29" s="224"/>
      <c r="H29" s="169"/>
      <c r="I29" s="169"/>
      <c r="J29" s="169"/>
      <c r="K29" s="169"/>
      <c r="L29" s="169"/>
      <c r="M29" s="169"/>
      <c r="N29" s="37"/>
      <c r="P29" s="388"/>
      <c r="Q29" s="17"/>
      <c r="R29" s="389"/>
      <c r="S29" s="390"/>
      <c r="T29" s="268"/>
    </row>
    <row r="30" spans="1:20" s="29" customFormat="1" ht="30" customHeight="1" x14ac:dyDescent="0.3">
      <c r="A30" s="116">
        <v>30</v>
      </c>
      <c r="B30" s="451"/>
      <c r="C30" s="142" t="s">
        <v>518</v>
      </c>
      <c r="D30" s="145"/>
      <c r="E30" s="117"/>
      <c r="F30" s="441"/>
      <c r="G30" s="441"/>
      <c r="H30" s="441"/>
      <c r="I30" s="441"/>
      <c r="J30" s="172"/>
      <c r="K30" s="172"/>
      <c r="L30" s="436" t="s">
        <v>127</v>
      </c>
      <c r="M30" s="172"/>
      <c r="N30" s="37"/>
      <c r="O30" s="214"/>
      <c r="P30" s="268"/>
      <c r="Q30"/>
      <c r="R30" s="268"/>
      <c r="S30" s="268"/>
      <c r="T30" s="268"/>
    </row>
    <row r="31" spans="1:20" ht="15" customHeight="1" x14ac:dyDescent="0.2">
      <c r="A31" s="116">
        <v>31</v>
      </c>
      <c r="B31" s="36"/>
      <c r="C31" s="442"/>
      <c r="D31" s="207"/>
      <c r="E31" s="168"/>
      <c r="F31" s="224"/>
      <c r="G31" s="224"/>
      <c r="H31" s="169"/>
      <c r="I31" s="441"/>
      <c r="J31" s="172"/>
      <c r="K31" s="169"/>
      <c r="L31" s="169"/>
      <c r="M31" s="169"/>
      <c r="N31" s="37"/>
      <c r="P31" s="268"/>
      <c r="Q31"/>
      <c r="R31" s="110"/>
      <c r="S31" s="268"/>
      <c r="T31" s="268"/>
    </row>
    <row r="32" spans="1:20" ht="15" customHeight="1" x14ac:dyDescent="0.2">
      <c r="A32" s="116">
        <v>32</v>
      </c>
      <c r="B32" s="36"/>
      <c r="C32" s="442"/>
      <c r="D32" s="207"/>
      <c r="E32" s="168"/>
      <c r="F32" s="224" t="s">
        <v>128</v>
      </c>
      <c r="G32" s="224"/>
      <c r="H32" s="169"/>
      <c r="I32" s="441"/>
      <c r="J32" s="172"/>
      <c r="K32" s="5">
        <f>'S4.RAB Value (Rolled Forward)'!P10</f>
        <v>178989.6</v>
      </c>
      <c r="L32" s="257"/>
      <c r="M32" s="451"/>
      <c r="N32" s="37"/>
      <c r="O32" s="214" t="s">
        <v>578</v>
      </c>
      <c r="P32" s="284"/>
      <c r="Q32"/>
      <c r="R32" s="268"/>
      <c r="S32" s="268"/>
      <c r="T32" s="268"/>
    </row>
    <row r="33" spans="1:24" ht="15" customHeight="1" thickBot="1" x14ac:dyDescent="0.25">
      <c r="A33" s="116">
        <v>33</v>
      </c>
      <c r="B33" s="36"/>
      <c r="C33" s="442"/>
      <c r="D33" s="171" t="s">
        <v>6</v>
      </c>
      <c r="E33" s="171"/>
      <c r="F33" s="224" t="s">
        <v>129</v>
      </c>
      <c r="G33" s="224"/>
      <c r="H33" s="169"/>
      <c r="I33" s="169"/>
      <c r="J33" s="169"/>
      <c r="K33" s="5">
        <f>'S5a.Regulatory Tax Allowance'!I60</f>
        <v>-5187</v>
      </c>
      <c r="L33" s="257"/>
      <c r="M33" s="451"/>
      <c r="N33" s="37"/>
      <c r="O33" s="214" t="s">
        <v>579</v>
      </c>
      <c r="P33" s="284"/>
      <c r="Q33"/>
      <c r="R33" s="27"/>
      <c r="S33" s="27"/>
      <c r="T33" s="27"/>
    </row>
    <row r="34" spans="1:24" ht="15" customHeight="1" thickBot="1" x14ac:dyDescent="0.25">
      <c r="A34" s="116">
        <v>34</v>
      </c>
      <c r="B34" s="36"/>
      <c r="C34" s="120" t="s">
        <v>130</v>
      </c>
      <c r="D34" s="207"/>
      <c r="E34" s="224"/>
      <c r="F34" s="120"/>
      <c r="G34" s="224"/>
      <c r="H34" s="169"/>
      <c r="I34" s="169"/>
      <c r="J34" s="169"/>
      <c r="K34" s="257"/>
      <c r="L34" s="4">
        <f>K32+K33</f>
        <v>173802.6</v>
      </c>
      <c r="M34" s="451"/>
      <c r="N34" s="37"/>
      <c r="O34" s="214" t="s">
        <v>868</v>
      </c>
      <c r="P34" s="393" t="s">
        <v>731</v>
      </c>
      <c r="Q34" s="394"/>
      <c r="R34" s="394"/>
      <c r="S34" s="395"/>
      <c r="T34" s="394"/>
      <c r="U34" s="395"/>
      <c r="V34" s="395"/>
      <c r="W34" s="395"/>
      <c r="X34" s="396"/>
    </row>
    <row r="35" spans="1:24" ht="15" customHeight="1" thickBot="1" x14ac:dyDescent="0.25">
      <c r="A35" s="116">
        <v>35</v>
      </c>
      <c r="B35" s="36"/>
      <c r="C35" s="442"/>
      <c r="D35" s="207"/>
      <c r="E35" s="171"/>
      <c r="F35" s="224"/>
      <c r="G35" s="224"/>
      <c r="H35" s="169"/>
      <c r="I35" s="169"/>
      <c r="J35" s="169"/>
      <c r="K35" s="257"/>
      <c r="L35" s="257"/>
      <c r="M35" s="257"/>
      <c r="N35" s="37"/>
      <c r="P35" s="223"/>
      <c r="Q35" s="110"/>
      <c r="R35" s="110"/>
      <c r="S35" s="110"/>
      <c r="T35" s="115"/>
      <c r="U35" s="115"/>
      <c r="V35" s="115"/>
      <c r="W35" s="115"/>
      <c r="X35" s="15"/>
    </row>
    <row r="36" spans="1:24" s="250" customFormat="1" ht="15" customHeight="1" thickBot="1" x14ac:dyDescent="0.25">
      <c r="A36" s="116">
        <v>36</v>
      </c>
      <c r="B36" s="36"/>
      <c r="C36" s="295" t="s">
        <v>468</v>
      </c>
      <c r="D36" s="296"/>
      <c r="E36" s="297"/>
      <c r="F36" s="298"/>
      <c r="G36" s="169"/>
      <c r="H36" s="169"/>
      <c r="I36" s="169"/>
      <c r="J36" s="169"/>
      <c r="K36" s="169"/>
      <c r="L36" s="325">
        <f>'S3.Regulatory Profit'!T9</f>
        <v>60480.764859999996</v>
      </c>
      <c r="M36" s="257"/>
      <c r="N36" s="37"/>
      <c r="O36" s="214" t="s">
        <v>580</v>
      </c>
      <c r="P36" s="397" t="s">
        <v>2</v>
      </c>
      <c r="Q36" s="398" t="s">
        <v>702</v>
      </c>
      <c r="R36" s="398" t="s">
        <v>703</v>
      </c>
      <c r="S36" s="371" t="s">
        <v>787</v>
      </c>
      <c r="T36" s="372"/>
      <c r="U36" s="371" t="s">
        <v>786</v>
      </c>
      <c r="V36" s="372"/>
      <c r="W36" s="371" t="s">
        <v>785</v>
      </c>
      <c r="X36" s="399"/>
    </row>
    <row r="37" spans="1:24" s="250" customFormat="1" ht="15" customHeight="1" x14ac:dyDescent="0.2">
      <c r="A37" s="116">
        <v>37</v>
      </c>
      <c r="B37" s="36"/>
      <c r="C37" s="442"/>
      <c r="D37" s="257"/>
      <c r="E37" s="257"/>
      <c r="F37" s="257"/>
      <c r="G37" s="257"/>
      <c r="H37" s="257"/>
      <c r="I37" s="169"/>
      <c r="J37" s="169"/>
      <c r="K37" s="257"/>
      <c r="L37" s="257"/>
      <c r="M37" s="257"/>
      <c r="N37" s="37"/>
      <c r="O37" s="214"/>
      <c r="P37" s="400"/>
      <c r="Q37" s="398" t="s">
        <v>704</v>
      </c>
      <c r="R37" s="398" t="s">
        <v>705</v>
      </c>
      <c r="S37" s="398" t="s">
        <v>700</v>
      </c>
      <c r="T37" s="398" t="s">
        <v>781</v>
      </c>
      <c r="U37" s="398" t="s">
        <v>700</v>
      </c>
      <c r="V37" s="398" t="s">
        <v>781</v>
      </c>
      <c r="W37" s="398" t="s">
        <v>700</v>
      </c>
      <c r="X37" s="401" t="s">
        <v>781</v>
      </c>
    </row>
    <row r="38" spans="1:24" s="250" customFormat="1" ht="15" customHeight="1" x14ac:dyDescent="0.2">
      <c r="A38" s="116">
        <v>38</v>
      </c>
      <c r="B38" s="36"/>
      <c r="C38" s="169"/>
      <c r="D38" s="169"/>
      <c r="E38" s="171"/>
      <c r="F38" s="294" t="s">
        <v>742</v>
      </c>
      <c r="G38" s="294"/>
      <c r="H38" s="169"/>
      <c r="I38" s="169"/>
      <c r="J38" s="169"/>
      <c r="K38" s="326">
        <f>'S3.Regulatory Profit'!T15+'S3.Regulatory Profit'!T17</f>
        <v>35306.318979999996</v>
      </c>
      <c r="L38" s="257"/>
      <c r="M38" s="257"/>
      <c r="N38" s="37"/>
      <c r="O38" s="214" t="s">
        <v>834</v>
      </c>
      <c r="P38" s="14"/>
      <c r="Q38" s="115"/>
      <c r="R38" s="115"/>
      <c r="S38" s="115"/>
      <c r="T38" s="115"/>
      <c r="U38" s="115"/>
      <c r="V38" s="115"/>
      <c r="W38" s="115"/>
      <c r="X38" s="15"/>
    </row>
    <row r="39" spans="1:24" ht="15" customHeight="1" x14ac:dyDescent="0.2">
      <c r="A39" s="116">
        <v>39</v>
      </c>
      <c r="B39" s="451"/>
      <c r="C39" s="299"/>
      <c r="D39" s="297" t="s">
        <v>733</v>
      </c>
      <c r="E39" s="171"/>
      <c r="F39" s="224" t="s">
        <v>133</v>
      </c>
      <c r="G39" s="224"/>
      <c r="H39" s="169"/>
      <c r="I39" s="169"/>
      <c r="J39" s="169"/>
      <c r="K39" s="5">
        <f>'S4.RAB Value (Rolled Forward)'!P16</f>
        <v>30905.744295935769</v>
      </c>
      <c r="L39" s="257"/>
      <c r="M39" s="257"/>
      <c r="N39" s="37"/>
      <c r="O39" s="214" t="s">
        <v>578</v>
      </c>
      <c r="P39" s="402" t="s">
        <v>130</v>
      </c>
      <c r="Q39" s="30">
        <v>365</v>
      </c>
      <c r="R39" s="403">
        <f>$K$3-Q39</f>
        <v>42825</v>
      </c>
      <c r="S39" s="404">
        <f>-L34</f>
        <v>-173802.6</v>
      </c>
      <c r="T39" s="404">
        <f>S39/(1+T$46)^((365-$Q39)/365)</f>
        <v>-173802.6</v>
      </c>
      <c r="U39" s="405">
        <f>S39</f>
        <v>-173802.6</v>
      </c>
      <c r="V39" s="404">
        <f>U39/(1+V$46)^((365-$Q39)/365)</f>
        <v>-173802.6</v>
      </c>
      <c r="W39" s="405">
        <f>U39</f>
        <v>-173802.6</v>
      </c>
      <c r="X39" s="406">
        <f>W39/(1+X$46)^((365-$Q39)/365)</f>
        <v>-173802.6</v>
      </c>
    </row>
    <row r="40" spans="1:24" ht="15" customHeight="1" x14ac:dyDescent="0.2">
      <c r="A40" s="116">
        <v>40</v>
      </c>
      <c r="B40" s="451"/>
      <c r="C40" s="299"/>
      <c r="D40" s="297" t="s">
        <v>5</v>
      </c>
      <c r="E40" s="171"/>
      <c r="F40" s="224" t="s">
        <v>134</v>
      </c>
      <c r="G40" s="224"/>
      <c r="H40" s="169"/>
      <c r="I40" s="169"/>
      <c r="J40" s="169"/>
      <c r="K40" s="5">
        <f>'S4.RAB Value (Rolled Forward)'!P18</f>
        <v>0</v>
      </c>
      <c r="L40" s="257"/>
      <c r="M40" s="257"/>
      <c r="N40" s="37"/>
      <c r="O40" s="214" t="s">
        <v>578</v>
      </c>
      <c r="P40" s="402" t="s">
        <v>739</v>
      </c>
      <c r="Q40" s="30">
        <v>182</v>
      </c>
      <c r="R40" s="403">
        <f>$K$3-Q40</f>
        <v>43008</v>
      </c>
      <c r="S40" s="404">
        <f>-L43</f>
        <v>-68392.618484428778</v>
      </c>
      <c r="T40" s="404">
        <f t="shared" ref="T40:V43" si="0">S40/(1+T$46)^((365-$Q40)/365)</f>
        <v>-66361.643152693738</v>
      </c>
      <c r="U40" s="405">
        <f>S40+(M107*M57)</f>
        <v>-68413.824844428775</v>
      </c>
      <c r="V40" s="404">
        <f t="shared" si="0"/>
        <v>-66372.684550147256</v>
      </c>
      <c r="W40" s="405">
        <f>U40+(M119*M57)</f>
        <v>-66687.344844428779</v>
      </c>
      <c r="X40" s="406">
        <f>W40/(1+X$46)^((365-$Q40)/365)</f>
        <v>-65460.991849051905</v>
      </c>
    </row>
    <row r="41" spans="1:24" ht="15" customHeight="1" x14ac:dyDescent="0.2">
      <c r="A41" s="116">
        <v>41</v>
      </c>
      <c r="B41" s="451"/>
      <c r="C41" s="299"/>
      <c r="D41" s="297" t="s">
        <v>733</v>
      </c>
      <c r="E41" s="171"/>
      <c r="F41" s="294" t="s">
        <v>144</v>
      </c>
      <c r="G41" s="298"/>
      <c r="H41" s="169"/>
      <c r="I41" s="169"/>
      <c r="J41" s="169"/>
      <c r="K41" s="327">
        <f>'S3.Regulatory Profit'!T29-K33+K50</f>
        <v>2333.6789884930076</v>
      </c>
      <c r="L41" s="257"/>
      <c r="M41" s="257"/>
      <c r="N41" s="37"/>
      <c r="O41" s="214" t="s">
        <v>835</v>
      </c>
      <c r="P41" s="402" t="s">
        <v>468</v>
      </c>
      <c r="Q41" s="30">
        <v>148</v>
      </c>
      <c r="R41" s="403">
        <f>$K$3-Q41</f>
        <v>43042</v>
      </c>
      <c r="S41" s="407">
        <f>L36</f>
        <v>60480.764859999996</v>
      </c>
      <c r="T41" s="404">
        <f t="shared" si="0"/>
        <v>58356.973704256176</v>
      </c>
      <c r="U41" s="405">
        <f>S41-M107</f>
        <v>60556.501859999997</v>
      </c>
      <c r="V41" s="404">
        <f t="shared" si="0"/>
        <v>58420.09900951806</v>
      </c>
      <c r="W41" s="405">
        <f>U41-M119</f>
        <v>54390.501859999997</v>
      </c>
      <c r="X41" s="406">
        <f>W41/(1+X$46)^((365-$Q41)/365)</f>
        <v>53206.486081390038</v>
      </c>
    </row>
    <row r="42" spans="1:24" ht="15" customHeight="1" thickBot="1" x14ac:dyDescent="0.25">
      <c r="A42" s="116">
        <v>42</v>
      </c>
      <c r="B42" s="451"/>
      <c r="C42" s="299"/>
      <c r="D42" s="297" t="s">
        <v>5</v>
      </c>
      <c r="E42" s="171"/>
      <c r="F42" s="300" t="s">
        <v>738</v>
      </c>
      <c r="G42" s="294"/>
      <c r="H42" s="169"/>
      <c r="I42" s="169"/>
      <c r="J42" s="169"/>
      <c r="K42" s="326">
        <f>'S3.Regulatory Profit'!T11+'S3.Regulatory Profit'!T10</f>
        <v>153.12378000000004</v>
      </c>
      <c r="L42" s="257"/>
      <c r="M42" s="257"/>
      <c r="N42" s="37"/>
      <c r="O42" s="214" t="s">
        <v>580</v>
      </c>
      <c r="P42" s="402" t="s">
        <v>701</v>
      </c>
      <c r="Q42" s="30">
        <v>0</v>
      </c>
      <c r="R42" s="403">
        <f>$K$3-Q42</f>
        <v>43190</v>
      </c>
      <c r="S42" s="404">
        <f>-L45</f>
        <v>0</v>
      </c>
      <c r="T42" s="404">
        <f t="shared" si="0"/>
        <v>0</v>
      </c>
      <c r="U42" s="405">
        <f>S42</f>
        <v>0</v>
      </c>
      <c r="V42" s="404">
        <f t="shared" si="0"/>
        <v>0</v>
      </c>
      <c r="W42" s="405">
        <f>U42</f>
        <v>0</v>
      </c>
      <c r="X42" s="406">
        <f>W42/(1+X$46)^((365-$Q42)/365)</f>
        <v>0</v>
      </c>
    </row>
    <row r="43" spans="1:24" ht="15" customHeight="1" thickBot="1" x14ac:dyDescent="0.25">
      <c r="A43" s="116">
        <v>43</v>
      </c>
      <c r="B43" s="451"/>
      <c r="C43" s="293" t="s">
        <v>739</v>
      </c>
      <c r="D43" s="257"/>
      <c r="E43" s="298"/>
      <c r="F43" s="294"/>
      <c r="G43" s="169"/>
      <c r="H43" s="169"/>
      <c r="I43" s="169"/>
      <c r="J43" s="169"/>
      <c r="K43" s="257"/>
      <c r="L43" s="325">
        <f>K38+K39-K40+K41-K42</f>
        <v>68392.618484428778</v>
      </c>
      <c r="M43" s="257"/>
      <c r="N43" s="37"/>
      <c r="P43" s="402" t="s">
        <v>139</v>
      </c>
      <c r="Q43" s="30">
        <v>0</v>
      </c>
      <c r="R43" s="403">
        <f>$K$3-Q43</f>
        <v>43190</v>
      </c>
      <c r="S43" s="404">
        <f>L51</f>
        <v>193074.04853242339</v>
      </c>
      <c r="T43" s="404">
        <f t="shared" si="0"/>
        <v>181807.26919889191</v>
      </c>
      <c r="U43" s="405">
        <f>S43</f>
        <v>193074.04853242339</v>
      </c>
      <c r="V43" s="404">
        <f t="shared" si="0"/>
        <v>181755.18559328443</v>
      </c>
      <c r="W43" s="405">
        <f>U43</f>
        <v>193074.04853242339</v>
      </c>
      <c r="X43" s="406">
        <f>W43/(1+X$46)^((365-$Q43)/365)</f>
        <v>186057.10607391415</v>
      </c>
    </row>
    <row r="44" spans="1:24" ht="15" customHeight="1" thickBot="1" x14ac:dyDescent="0.25">
      <c r="A44" s="116">
        <v>44</v>
      </c>
      <c r="B44" s="451"/>
      <c r="C44" s="257"/>
      <c r="D44" s="257"/>
      <c r="E44" s="257"/>
      <c r="F44" s="257"/>
      <c r="G44" s="257"/>
      <c r="H44" s="257"/>
      <c r="I44" s="169"/>
      <c r="J44" s="169"/>
      <c r="K44" s="257"/>
      <c r="L44" s="257"/>
      <c r="M44" s="257"/>
      <c r="N44" s="37"/>
      <c r="P44" s="408"/>
      <c r="Q44" s="30"/>
      <c r="R44" s="30"/>
      <c r="S44" s="110"/>
      <c r="T44" s="115"/>
      <c r="U44" s="115"/>
      <c r="V44" s="115"/>
      <c r="W44" s="115"/>
      <c r="X44" s="15"/>
    </row>
    <row r="45" spans="1:24" s="250" customFormat="1" ht="15" customHeight="1" thickBot="1" x14ac:dyDescent="0.35">
      <c r="A45" s="116">
        <v>45</v>
      </c>
      <c r="B45" s="451"/>
      <c r="C45" s="295" t="s">
        <v>158</v>
      </c>
      <c r="D45" s="301"/>
      <c r="E45" s="298"/>
      <c r="F45" s="294"/>
      <c r="G45" s="169"/>
      <c r="H45" s="169"/>
      <c r="I45" s="169"/>
      <c r="J45" s="142"/>
      <c r="K45" s="142"/>
      <c r="L45" s="325">
        <f>'S3.Regulatory Profit'!T27</f>
        <v>0</v>
      </c>
      <c r="M45" s="257"/>
      <c r="N45" s="37"/>
      <c r="O45" s="214" t="s">
        <v>580</v>
      </c>
      <c r="P45" s="408"/>
      <c r="Q45" s="30"/>
      <c r="R45" s="115"/>
      <c r="S45" s="409" t="s">
        <v>783</v>
      </c>
      <c r="T45" s="479">
        <f>0.1*SIGN(SUM(S39:S43))</f>
        <v>0.1</v>
      </c>
      <c r="U45" s="115"/>
      <c r="V45" s="479">
        <f>0.1*SIGN(SUM(U39:U43))</f>
        <v>0.1</v>
      </c>
      <c r="W45" s="115"/>
      <c r="X45" s="480">
        <f>0.1*SIGN(SUM(W39:W43))</f>
        <v>0.1</v>
      </c>
    </row>
    <row r="46" spans="1:24" s="250" customFormat="1" ht="15" customHeight="1" x14ac:dyDescent="0.2">
      <c r="A46" s="116">
        <v>46</v>
      </c>
      <c r="B46" s="36"/>
      <c r="C46" s="442"/>
      <c r="D46" s="257"/>
      <c r="E46" s="257"/>
      <c r="F46" s="257"/>
      <c r="G46" s="257"/>
      <c r="H46" s="257"/>
      <c r="I46" s="169"/>
      <c r="J46" s="169"/>
      <c r="K46" s="257"/>
      <c r="L46" s="257"/>
      <c r="M46" s="257"/>
      <c r="N46" s="37"/>
      <c r="O46" s="214"/>
      <c r="P46" s="408"/>
      <c r="Q46" s="30"/>
      <c r="R46" s="115"/>
      <c r="S46" s="409" t="s">
        <v>782</v>
      </c>
      <c r="T46" s="481">
        <f>XIRR(S39:S43,$R39:$R43,T45)</f>
        <v>6.1971005797386167E-2</v>
      </c>
      <c r="U46" s="115"/>
      <c r="V46" s="481">
        <f>XIRR(U39:U43,$R39:$R43,V45)</f>
        <v>6.2275323271751393E-2</v>
      </c>
      <c r="W46" s="115"/>
      <c r="X46" s="482">
        <f>XIRR(W39:W43,$R39:$R43,X45)</f>
        <v>3.7713918089866641E-2</v>
      </c>
    </row>
    <row r="47" spans="1:24" ht="15" customHeight="1" x14ac:dyDescent="0.2">
      <c r="A47" s="116">
        <v>47</v>
      </c>
      <c r="B47" s="451"/>
      <c r="C47" s="442"/>
      <c r="D47" s="207"/>
      <c r="E47" s="168"/>
      <c r="F47" s="224" t="s">
        <v>135</v>
      </c>
      <c r="G47" s="224"/>
      <c r="H47" s="169"/>
      <c r="I47" s="169"/>
      <c r="J47" s="169"/>
      <c r="K47" s="5">
        <f>'S4.RAB Value (Rolled Forward)'!P24</f>
        <v>199620.70317985717</v>
      </c>
      <c r="L47" s="257"/>
      <c r="M47" s="257"/>
      <c r="N47" s="37"/>
      <c r="O47" s="214" t="s">
        <v>578</v>
      </c>
      <c r="P47" s="14"/>
      <c r="Q47" s="115"/>
      <c r="R47" s="115"/>
      <c r="S47" s="483" t="s">
        <v>784</v>
      </c>
      <c r="T47" s="410">
        <f>SUM(T39:T43)</f>
        <v>-2.495456428732723E-4</v>
      </c>
      <c r="U47" s="115"/>
      <c r="V47" s="410">
        <f>SUM(V39:V43)</f>
        <v>5.2655232138931751E-5</v>
      </c>
      <c r="W47" s="115"/>
      <c r="X47" s="411">
        <f>SUM(X39:X43)</f>
        <v>3.0625227373093367E-4</v>
      </c>
    </row>
    <row r="48" spans="1:24" ht="15" customHeight="1" x14ac:dyDescent="0.2">
      <c r="A48" s="116">
        <v>48</v>
      </c>
      <c r="B48" s="36"/>
      <c r="C48" s="442"/>
      <c r="D48" s="171" t="s">
        <v>5</v>
      </c>
      <c r="E48" s="171"/>
      <c r="F48" s="224" t="s">
        <v>136</v>
      </c>
      <c r="G48" s="224"/>
      <c r="H48" s="169"/>
      <c r="I48" s="169"/>
      <c r="J48" s="169"/>
      <c r="K48" s="5">
        <f>('S4.RAB Value (Rolled Forward)'!P22)</f>
        <v>0.2299018488265574</v>
      </c>
      <c r="L48" s="257"/>
      <c r="M48" s="257"/>
      <c r="N48" s="37"/>
      <c r="O48" s="214" t="s">
        <v>578</v>
      </c>
      <c r="P48" s="14"/>
      <c r="Q48" s="115"/>
      <c r="R48" s="115"/>
      <c r="S48" s="409" t="s">
        <v>624</v>
      </c>
      <c r="T48" s="481">
        <f>IF(ABS(T47)&lt;0.01,T46,"ERROR")</f>
        <v>6.1971005797386167E-2</v>
      </c>
      <c r="U48" s="115"/>
      <c r="V48" s="481">
        <f>IF(ABS(V47)&lt;0.01,V46,"ERROR")</f>
        <v>6.2275323271751393E-2</v>
      </c>
      <c r="W48" s="115"/>
      <c r="X48" s="482">
        <f>IF(ABS(X47)&lt;0.01,X46,"ERROR")</f>
        <v>3.7713918089866641E-2</v>
      </c>
    </row>
    <row r="49" spans="1:24" ht="15" customHeight="1" x14ac:dyDescent="0.2">
      <c r="A49" s="116">
        <v>49</v>
      </c>
      <c r="B49" s="451"/>
      <c r="C49" s="442"/>
      <c r="D49" s="171" t="s">
        <v>5</v>
      </c>
      <c r="E49" s="171"/>
      <c r="F49" s="224" t="s">
        <v>137</v>
      </c>
      <c r="G49" s="224"/>
      <c r="H49" s="169"/>
      <c r="I49" s="169"/>
      <c r="J49" s="169"/>
      <c r="K49" s="2">
        <f>'S4.RAB Value (Rolled Forward)'!P20</f>
        <v>0</v>
      </c>
      <c r="L49" s="257"/>
      <c r="M49" s="257"/>
      <c r="N49" s="37"/>
      <c r="O49" s="214" t="s">
        <v>578</v>
      </c>
      <c r="P49" s="16"/>
      <c r="Q49" s="17"/>
      <c r="R49" s="17"/>
      <c r="S49" s="412"/>
      <c r="T49" s="17"/>
      <c r="U49" s="17"/>
      <c r="V49" s="17"/>
      <c r="W49" s="17"/>
      <c r="X49" s="18"/>
    </row>
    <row r="50" spans="1:24" ht="15" customHeight="1" thickBot="1" x14ac:dyDescent="0.25">
      <c r="A50" s="116">
        <v>50</v>
      </c>
      <c r="B50" s="451"/>
      <c r="C50" s="442"/>
      <c r="D50" s="171" t="s">
        <v>6</v>
      </c>
      <c r="E50" s="171"/>
      <c r="F50" s="224" t="s">
        <v>138</v>
      </c>
      <c r="G50" s="224"/>
      <c r="H50" s="169"/>
      <c r="I50" s="169"/>
      <c r="J50" s="169"/>
      <c r="K50" s="2">
        <f>'S5a.Regulatory Tax Allowance'!J76</f>
        <v>-6546.4247455849472</v>
      </c>
      <c r="L50" s="257"/>
      <c r="M50" s="257"/>
      <c r="N50" s="37"/>
      <c r="O50" s="214" t="s">
        <v>579</v>
      </c>
      <c r="P50" s="393" t="s">
        <v>732</v>
      </c>
      <c r="Q50" s="395"/>
      <c r="R50" s="395"/>
      <c r="S50" s="395"/>
      <c r="T50" s="396"/>
    </row>
    <row r="51" spans="1:24" ht="15" customHeight="1" thickBot="1" x14ac:dyDescent="0.25">
      <c r="A51" s="116">
        <v>51</v>
      </c>
      <c r="B51" s="451"/>
      <c r="C51" s="168" t="s">
        <v>139</v>
      </c>
      <c r="D51" s="207"/>
      <c r="E51" s="224"/>
      <c r="F51" s="224"/>
      <c r="G51" s="224"/>
      <c r="H51" s="169"/>
      <c r="I51" s="169"/>
      <c r="J51" s="169"/>
      <c r="K51" s="257"/>
      <c r="L51" s="4">
        <f>K47-K48-K49+K50</f>
        <v>193074.04853242339</v>
      </c>
      <c r="M51" s="257"/>
      <c r="N51" s="34"/>
      <c r="P51" s="14"/>
      <c r="Q51" s="115"/>
      <c r="R51" s="115"/>
      <c r="S51" s="115"/>
      <c r="T51" s="15"/>
    </row>
    <row r="52" spans="1:24" ht="15" customHeight="1" thickBot="1" x14ac:dyDescent="0.25">
      <c r="A52" s="116">
        <v>52</v>
      </c>
      <c r="B52" s="451"/>
      <c r="C52" s="442"/>
      <c r="D52" s="207"/>
      <c r="E52" s="171"/>
      <c r="F52" s="224"/>
      <c r="G52" s="224"/>
      <c r="H52" s="169"/>
      <c r="I52" s="169"/>
      <c r="J52" s="169"/>
      <c r="K52" s="169"/>
      <c r="L52" s="169"/>
      <c r="M52" s="257"/>
      <c r="N52" s="37"/>
      <c r="P52" s="413" t="s">
        <v>2</v>
      </c>
      <c r="Q52" s="398" t="s">
        <v>702</v>
      </c>
      <c r="R52" s="398" t="s">
        <v>703</v>
      </c>
      <c r="S52" s="371" t="s">
        <v>787</v>
      </c>
      <c r="T52" s="399"/>
      <c r="U52"/>
      <c r="V52"/>
      <c r="W52"/>
      <c r="X52"/>
    </row>
    <row r="53" spans="1:24" ht="15" customHeight="1" thickBot="1" x14ac:dyDescent="0.35">
      <c r="A53" s="116">
        <v>53</v>
      </c>
      <c r="B53" s="451"/>
      <c r="C53" s="142"/>
      <c r="D53" s="296" t="s">
        <v>685</v>
      </c>
      <c r="E53" s="302"/>
      <c r="F53" s="287"/>
      <c r="G53" s="287"/>
      <c r="H53" s="451"/>
      <c r="I53" s="451"/>
      <c r="J53" s="451"/>
      <c r="K53" s="451"/>
      <c r="L53" s="451"/>
      <c r="M53" s="346">
        <f>IF(K32=0,0,T48)</f>
        <v>6.1971005797386167E-2</v>
      </c>
      <c r="N53" s="37"/>
      <c r="O53" s="214" t="s">
        <v>872</v>
      </c>
      <c r="P53" s="414"/>
      <c r="Q53" s="398" t="s">
        <v>704</v>
      </c>
      <c r="R53" s="398" t="s">
        <v>705</v>
      </c>
      <c r="S53" s="398" t="s">
        <v>700</v>
      </c>
      <c r="T53" s="401" t="s">
        <v>781</v>
      </c>
      <c r="U53"/>
      <c r="V53"/>
      <c r="W53"/>
      <c r="X53"/>
    </row>
    <row r="54" spans="1:24" ht="15" customHeight="1" x14ac:dyDescent="0.3">
      <c r="A54" s="116">
        <v>54</v>
      </c>
      <c r="B54" s="451"/>
      <c r="C54" s="142"/>
      <c r="D54" s="145"/>
      <c r="E54" s="117"/>
      <c r="F54" s="144"/>
      <c r="G54" s="144"/>
      <c r="H54" s="451"/>
      <c r="I54" s="451"/>
      <c r="J54" s="451"/>
      <c r="K54" s="451"/>
      <c r="L54" s="451"/>
      <c r="M54" s="451"/>
      <c r="N54" s="37"/>
      <c r="P54" s="14"/>
      <c r="Q54" s="115"/>
      <c r="R54" s="115"/>
      <c r="S54" s="115"/>
      <c r="T54" s="15"/>
      <c r="U54"/>
      <c r="V54"/>
      <c r="W54"/>
      <c r="X54"/>
    </row>
    <row r="55" spans="1:24" ht="15" customHeight="1" x14ac:dyDescent="0.3">
      <c r="A55" s="116">
        <v>55</v>
      </c>
      <c r="B55" s="451"/>
      <c r="C55" s="142"/>
      <c r="D55" s="145"/>
      <c r="E55" s="117"/>
      <c r="F55" s="144" t="s">
        <v>140</v>
      </c>
      <c r="G55" s="144"/>
      <c r="H55" s="451"/>
      <c r="I55" s="451"/>
      <c r="J55" s="451"/>
      <c r="K55" s="451"/>
      <c r="L55" s="451"/>
      <c r="M55" s="377">
        <f>'S5c.TCSD Allowance'!H23</f>
        <v>0.44</v>
      </c>
      <c r="N55" s="37"/>
      <c r="P55" s="415" t="s">
        <v>706</v>
      </c>
      <c r="Q55" s="404">
        <v>365</v>
      </c>
      <c r="R55" s="403">
        <f t="shared" ref="R55:R82" si="1">K$3-Q55</f>
        <v>42825</v>
      </c>
      <c r="S55" s="404">
        <f>-L34</f>
        <v>-173802.6</v>
      </c>
      <c r="T55" s="406" t="e">
        <f t="shared" ref="T55:T82" si="2">S55/(1+T$85)^((365-$Q55)/365)</f>
        <v>#VALUE!</v>
      </c>
    </row>
    <row r="56" spans="1:24" ht="15" customHeight="1" x14ac:dyDescent="0.3">
      <c r="A56" s="116">
        <v>56</v>
      </c>
      <c r="B56" s="451"/>
      <c r="C56" s="142"/>
      <c r="D56" s="145"/>
      <c r="E56" s="117"/>
      <c r="F56" s="144" t="s">
        <v>141</v>
      </c>
      <c r="G56" s="144"/>
      <c r="H56" s="451"/>
      <c r="I56" s="451"/>
      <c r="J56" s="451"/>
      <c r="K56" s="451"/>
      <c r="L56" s="451"/>
      <c r="M56" s="559">
        <v>4.8000000000000001E-2</v>
      </c>
      <c r="N56" s="37"/>
      <c r="O56" s="214" t="s">
        <v>793</v>
      </c>
      <c r="P56" s="415" t="s">
        <v>707</v>
      </c>
      <c r="Q56" s="404">
        <v>350</v>
      </c>
      <c r="R56" s="403">
        <f t="shared" si="1"/>
        <v>42840</v>
      </c>
      <c r="S56" s="404">
        <f t="shared" ref="S56:S67" si="3">-M67</f>
        <v>0</v>
      </c>
      <c r="T56" s="406" t="e">
        <f t="shared" si="2"/>
        <v>#VALUE!</v>
      </c>
    </row>
    <row r="57" spans="1:24" ht="15" customHeight="1" x14ac:dyDescent="0.3">
      <c r="A57" s="116">
        <v>57</v>
      </c>
      <c r="B57" s="451"/>
      <c r="C57" s="142"/>
      <c r="D57" s="145"/>
      <c r="E57" s="117"/>
      <c r="F57" s="144" t="s">
        <v>142</v>
      </c>
      <c r="G57" s="144"/>
      <c r="H57" s="451"/>
      <c r="I57" s="451"/>
      <c r="J57" s="451"/>
      <c r="K57" s="451"/>
      <c r="L57" s="451"/>
      <c r="M57" s="377">
        <f>'S5a.Regulatory Tax Allowance'!I28</f>
        <v>0.28000000000000003</v>
      </c>
      <c r="N57" s="37"/>
      <c r="O57" s="214" t="s">
        <v>579</v>
      </c>
      <c r="P57" s="415" t="s">
        <v>708</v>
      </c>
      <c r="Q57" s="404">
        <v>320</v>
      </c>
      <c r="R57" s="403">
        <f t="shared" si="1"/>
        <v>42870</v>
      </c>
      <c r="S57" s="404">
        <f t="shared" si="3"/>
        <v>0</v>
      </c>
      <c r="T57" s="406" t="e">
        <f t="shared" si="2"/>
        <v>#VALUE!</v>
      </c>
    </row>
    <row r="58" spans="1:24" ht="15" customHeight="1" thickBot="1" x14ac:dyDescent="0.35">
      <c r="A58" s="116">
        <v>58</v>
      </c>
      <c r="B58" s="451"/>
      <c r="C58" s="142"/>
      <c r="D58" s="145"/>
      <c r="E58" s="117"/>
      <c r="F58" s="144"/>
      <c r="G58" s="144"/>
      <c r="H58" s="451"/>
      <c r="I58" s="451"/>
      <c r="J58" s="451"/>
      <c r="K58" s="451"/>
      <c r="L58" s="451"/>
      <c r="M58" s="451"/>
      <c r="N58" s="37"/>
      <c r="O58" s="215"/>
      <c r="P58" s="415" t="s">
        <v>709</v>
      </c>
      <c r="Q58" s="404">
        <v>289</v>
      </c>
      <c r="R58" s="403">
        <f t="shared" si="1"/>
        <v>42901</v>
      </c>
      <c r="S58" s="404">
        <f t="shared" si="3"/>
        <v>0</v>
      </c>
      <c r="T58" s="406" t="e">
        <f t="shared" si="2"/>
        <v>#VALUE!</v>
      </c>
    </row>
    <row r="59" spans="1:24" ht="15" customHeight="1" thickBot="1" x14ac:dyDescent="0.35">
      <c r="A59" s="116">
        <v>59</v>
      </c>
      <c r="B59" s="451"/>
      <c r="C59" s="142"/>
      <c r="D59" s="296" t="s">
        <v>684</v>
      </c>
      <c r="E59" s="302"/>
      <c r="F59" s="287"/>
      <c r="G59" s="287"/>
      <c r="H59" s="451"/>
      <c r="I59" s="451"/>
      <c r="J59" s="451"/>
      <c r="K59" s="451"/>
      <c r="L59" s="451"/>
      <c r="M59" s="347">
        <f>M53-($M$55*$M$56*$M$57)</f>
        <v>5.6057405797386169E-2</v>
      </c>
      <c r="N59" s="37"/>
      <c r="O59" s="214" t="s">
        <v>586</v>
      </c>
      <c r="P59" s="415" t="s">
        <v>710</v>
      </c>
      <c r="Q59" s="404">
        <v>259</v>
      </c>
      <c r="R59" s="403">
        <f t="shared" si="1"/>
        <v>42931</v>
      </c>
      <c r="S59" s="404">
        <f t="shared" si="3"/>
        <v>0</v>
      </c>
      <c r="T59" s="406" t="e">
        <f t="shared" si="2"/>
        <v>#VALUE!</v>
      </c>
    </row>
    <row r="60" spans="1:24" s="269" customFormat="1" ht="15" customHeight="1" x14ac:dyDescent="0.3">
      <c r="A60" s="116">
        <v>60</v>
      </c>
      <c r="B60" s="451"/>
      <c r="C60" s="142"/>
      <c r="D60" s="451"/>
      <c r="E60" s="451"/>
      <c r="F60" s="451"/>
      <c r="G60" s="451"/>
      <c r="H60" s="451"/>
      <c r="I60" s="451"/>
      <c r="J60" s="451"/>
      <c r="K60" s="451"/>
      <c r="L60" s="451"/>
      <c r="M60" s="349"/>
      <c r="N60" s="37"/>
      <c r="O60" s="214"/>
      <c r="P60" s="415" t="s">
        <v>711</v>
      </c>
      <c r="Q60" s="404">
        <v>228</v>
      </c>
      <c r="R60" s="403">
        <f t="shared" si="1"/>
        <v>42962</v>
      </c>
      <c r="S60" s="404">
        <f t="shared" si="3"/>
        <v>0</v>
      </c>
      <c r="T60" s="406" t="e">
        <f t="shared" si="2"/>
        <v>#VALUE!</v>
      </c>
    </row>
    <row r="61" spans="1:24" ht="14.25" customHeight="1" x14ac:dyDescent="0.3">
      <c r="A61" s="116">
        <v>61</v>
      </c>
      <c r="B61" s="36"/>
      <c r="C61" s="142" t="s">
        <v>519</v>
      </c>
      <c r="D61" s="145"/>
      <c r="E61" s="117"/>
      <c r="F61" s="144"/>
      <c r="G61" s="144"/>
      <c r="H61" s="441"/>
      <c r="I61" s="451"/>
      <c r="J61" s="451"/>
      <c r="K61" s="451"/>
      <c r="L61" s="209"/>
      <c r="M61" s="451"/>
      <c r="N61" s="34"/>
      <c r="P61" s="415" t="s">
        <v>712</v>
      </c>
      <c r="Q61" s="404">
        <v>197</v>
      </c>
      <c r="R61" s="403">
        <f t="shared" si="1"/>
        <v>42993</v>
      </c>
      <c r="S61" s="404">
        <f t="shared" si="3"/>
        <v>0</v>
      </c>
      <c r="T61" s="406" t="e">
        <f t="shared" si="2"/>
        <v>#VALUE!</v>
      </c>
      <c r="U61" s="135"/>
      <c r="V61" s="135"/>
      <c r="W61" s="135"/>
      <c r="X61" s="135"/>
    </row>
    <row r="62" spans="1:24" ht="14.25" customHeight="1" thickBot="1" x14ac:dyDescent="0.35">
      <c r="A62" s="116">
        <v>62</v>
      </c>
      <c r="B62" s="36"/>
      <c r="C62" s="142"/>
      <c r="D62" s="145"/>
      <c r="E62" s="117"/>
      <c r="F62" s="144"/>
      <c r="G62" s="144"/>
      <c r="H62" s="436"/>
      <c r="I62" s="451"/>
      <c r="J62" s="451"/>
      <c r="K62" s="451"/>
      <c r="L62" s="209"/>
      <c r="M62" s="451"/>
      <c r="N62" s="34"/>
      <c r="P62" s="415" t="s">
        <v>713</v>
      </c>
      <c r="Q62" s="404">
        <v>167</v>
      </c>
      <c r="R62" s="403">
        <f t="shared" si="1"/>
        <v>43023</v>
      </c>
      <c r="S62" s="404">
        <f t="shared" si="3"/>
        <v>0</v>
      </c>
      <c r="T62" s="406" t="e">
        <f t="shared" si="2"/>
        <v>#VALUE!</v>
      </c>
    </row>
    <row r="63" spans="1:24" ht="15" customHeight="1" thickBot="1" x14ac:dyDescent="0.35">
      <c r="A63" s="116">
        <v>63</v>
      </c>
      <c r="B63" s="451"/>
      <c r="C63" s="142"/>
      <c r="D63" s="145"/>
      <c r="E63" s="295" t="s">
        <v>130</v>
      </c>
      <c r="F63" s="295"/>
      <c r="G63" s="451"/>
      <c r="H63" s="451"/>
      <c r="I63" s="451"/>
      <c r="J63" s="451"/>
      <c r="K63" s="451"/>
      <c r="L63" s="451"/>
      <c r="M63" s="328" t="str">
        <f>IF(M79=0,"N/A",L34)</f>
        <v>N/A</v>
      </c>
      <c r="N63" s="37"/>
      <c r="O63" s="214" t="s">
        <v>836</v>
      </c>
      <c r="P63" s="415" t="s">
        <v>714</v>
      </c>
      <c r="Q63" s="404">
        <v>136</v>
      </c>
      <c r="R63" s="403">
        <f t="shared" si="1"/>
        <v>43054</v>
      </c>
      <c r="S63" s="404">
        <f t="shared" si="3"/>
        <v>0</v>
      </c>
      <c r="T63" s="406" t="e">
        <f t="shared" si="2"/>
        <v>#VALUE!</v>
      </c>
    </row>
    <row r="64" spans="1:24" ht="15" customHeight="1" x14ac:dyDescent="0.3">
      <c r="A64" s="116">
        <v>64</v>
      </c>
      <c r="B64" s="451"/>
      <c r="C64" s="142"/>
      <c r="D64" s="145"/>
      <c r="E64" s="117"/>
      <c r="F64" s="144"/>
      <c r="G64" s="451"/>
      <c r="H64" s="451"/>
      <c r="I64" s="451"/>
      <c r="J64" s="451"/>
      <c r="K64" s="451"/>
      <c r="L64" s="451"/>
      <c r="M64" s="257"/>
      <c r="N64" s="34"/>
      <c r="P64" s="415" t="s">
        <v>715</v>
      </c>
      <c r="Q64" s="404">
        <v>106</v>
      </c>
      <c r="R64" s="403">
        <f t="shared" si="1"/>
        <v>43084</v>
      </c>
      <c r="S64" s="404">
        <f t="shared" si="3"/>
        <v>0</v>
      </c>
      <c r="T64" s="406" t="e">
        <f t="shared" si="2"/>
        <v>#VALUE!</v>
      </c>
    </row>
    <row r="65" spans="1:24" ht="15" customHeight="1" x14ac:dyDescent="0.3">
      <c r="A65" s="116">
        <v>65</v>
      </c>
      <c r="B65" s="451"/>
      <c r="C65" s="142"/>
      <c r="D65" s="145"/>
      <c r="E65" s="117"/>
      <c r="F65" s="287"/>
      <c r="G65" s="436"/>
      <c r="H65" s="265"/>
      <c r="I65" s="265"/>
      <c r="J65" s="451"/>
      <c r="K65" s="436"/>
      <c r="L65" s="436"/>
      <c r="M65" s="265"/>
      <c r="N65" s="34"/>
      <c r="P65" s="415" t="s">
        <v>716</v>
      </c>
      <c r="Q65" s="404">
        <v>75</v>
      </c>
      <c r="R65" s="403">
        <f t="shared" si="1"/>
        <v>43115</v>
      </c>
      <c r="S65" s="404">
        <f t="shared" si="3"/>
        <v>0</v>
      </c>
      <c r="T65" s="406" t="e">
        <f t="shared" si="2"/>
        <v>#VALUE!</v>
      </c>
    </row>
    <row r="66" spans="1:24" ht="25.5" x14ac:dyDescent="0.3">
      <c r="A66" s="116">
        <v>66</v>
      </c>
      <c r="B66" s="451"/>
      <c r="C66" s="142"/>
      <c r="D66" s="145"/>
      <c r="E66" s="117"/>
      <c r="F66" s="144"/>
      <c r="G66" s="303" t="s">
        <v>468</v>
      </c>
      <c r="H66" s="277"/>
      <c r="I66" s="303" t="s">
        <v>742</v>
      </c>
      <c r="J66" s="276" t="s">
        <v>133</v>
      </c>
      <c r="K66" s="276" t="s">
        <v>889</v>
      </c>
      <c r="L66" s="304" t="s">
        <v>734</v>
      </c>
      <c r="M66" s="303" t="s">
        <v>741</v>
      </c>
      <c r="N66" s="34"/>
      <c r="P66" s="415" t="s">
        <v>717</v>
      </c>
      <c r="Q66" s="404">
        <v>44</v>
      </c>
      <c r="R66" s="403">
        <f t="shared" si="1"/>
        <v>43146</v>
      </c>
      <c r="S66" s="404">
        <f t="shared" si="3"/>
        <v>0</v>
      </c>
      <c r="T66" s="406" t="e">
        <f t="shared" si="2"/>
        <v>#VALUE!</v>
      </c>
    </row>
    <row r="67" spans="1:24" ht="15" customHeight="1" x14ac:dyDescent="0.3">
      <c r="A67" s="116">
        <v>67</v>
      </c>
      <c r="B67" s="451"/>
      <c r="C67" s="142"/>
      <c r="D67" s="145"/>
      <c r="E67" s="117"/>
      <c r="F67" s="144" t="s">
        <v>145</v>
      </c>
      <c r="G67" s="365">
        <v>0</v>
      </c>
      <c r="H67" s="441"/>
      <c r="I67" s="580">
        <v>0</v>
      </c>
      <c r="J67" s="580">
        <v>0</v>
      </c>
      <c r="K67" s="580">
        <v>0</v>
      </c>
      <c r="L67" s="580">
        <v>0</v>
      </c>
      <c r="M67" s="366">
        <f>I67+J67-K67-L67</f>
        <v>0</v>
      </c>
      <c r="N67" s="34"/>
      <c r="P67" s="415" t="s">
        <v>718</v>
      </c>
      <c r="Q67" s="404">
        <v>16</v>
      </c>
      <c r="R67" s="403">
        <f t="shared" si="1"/>
        <v>43174</v>
      </c>
      <c r="S67" s="404">
        <f t="shared" si="3"/>
        <v>0</v>
      </c>
      <c r="T67" s="406" t="e">
        <f t="shared" si="2"/>
        <v>#VALUE!</v>
      </c>
    </row>
    <row r="68" spans="1:24" ht="15" customHeight="1" x14ac:dyDescent="0.3">
      <c r="A68" s="116">
        <v>68</v>
      </c>
      <c r="B68" s="451"/>
      <c r="C68" s="142"/>
      <c r="D68" s="145"/>
      <c r="E68" s="117"/>
      <c r="F68" s="144" t="s">
        <v>146</v>
      </c>
      <c r="G68" s="365">
        <v>0</v>
      </c>
      <c r="H68" s="441"/>
      <c r="I68" s="580">
        <v>0</v>
      </c>
      <c r="J68" s="580">
        <v>0</v>
      </c>
      <c r="K68" s="580">
        <v>0</v>
      </c>
      <c r="L68" s="580">
        <v>0</v>
      </c>
      <c r="M68" s="366">
        <f t="shared" ref="M68:M78" si="4">I68+J68-K68-L68</f>
        <v>0</v>
      </c>
      <c r="N68" s="34"/>
      <c r="P68" s="415" t="s">
        <v>719</v>
      </c>
      <c r="Q68" s="404">
        <v>315</v>
      </c>
      <c r="R68" s="403">
        <f t="shared" si="1"/>
        <v>42875</v>
      </c>
      <c r="S68" s="404">
        <f t="shared" ref="S68:S79" si="5">G67</f>
        <v>0</v>
      </c>
      <c r="T68" s="406" t="e">
        <f t="shared" si="2"/>
        <v>#VALUE!</v>
      </c>
    </row>
    <row r="69" spans="1:24" ht="15" customHeight="1" x14ac:dyDescent="0.3">
      <c r="A69" s="116">
        <v>69</v>
      </c>
      <c r="B69" s="451"/>
      <c r="C69" s="142"/>
      <c r="D69" s="145"/>
      <c r="E69" s="117"/>
      <c r="F69" s="144" t="s">
        <v>147</v>
      </c>
      <c r="G69" s="365">
        <v>0</v>
      </c>
      <c r="H69" s="441"/>
      <c r="I69" s="580">
        <v>0</v>
      </c>
      <c r="J69" s="580">
        <v>0</v>
      </c>
      <c r="K69" s="580">
        <v>0</v>
      </c>
      <c r="L69" s="580">
        <v>0</v>
      </c>
      <c r="M69" s="366">
        <f t="shared" si="4"/>
        <v>0</v>
      </c>
      <c r="N69" s="34"/>
      <c r="P69" s="415" t="s">
        <v>720</v>
      </c>
      <c r="Q69" s="404">
        <v>284</v>
      </c>
      <c r="R69" s="403">
        <f t="shared" si="1"/>
        <v>42906</v>
      </c>
      <c r="S69" s="404">
        <f t="shared" si="5"/>
        <v>0</v>
      </c>
      <c r="T69" s="406" t="e">
        <f t="shared" si="2"/>
        <v>#VALUE!</v>
      </c>
    </row>
    <row r="70" spans="1:24" ht="15" customHeight="1" x14ac:dyDescent="0.3">
      <c r="A70" s="116">
        <v>70</v>
      </c>
      <c r="B70" s="451"/>
      <c r="C70" s="142"/>
      <c r="D70" s="145"/>
      <c r="E70" s="117"/>
      <c r="F70" s="144" t="s">
        <v>148</v>
      </c>
      <c r="G70" s="365">
        <v>0</v>
      </c>
      <c r="H70" s="441"/>
      <c r="I70" s="580">
        <v>0</v>
      </c>
      <c r="J70" s="580">
        <v>0</v>
      </c>
      <c r="K70" s="580">
        <v>0</v>
      </c>
      <c r="L70" s="580">
        <v>0</v>
      </c>
      <c r="M70" s="366">
        <f t="shared" si="4"/>
        <v>0</v>
      </c>
      <c r="N70" s="34"/>
      <c r="P70" s="415" t="s">
        <v>721</v>
      </c>
      <c r="Q70" s="404">
        <v>254</v>
      </c>
      <c r="R70" s="403">
        <f t="shared" si="1"/>
        <v>42936</v>
      </c>
      <c r="S70" s="404">
        <f t="shared" si="5"/>
        <v>0</v>
      </c>
      <c r="T70" s="406" t="e">
        <f t="shared" si="2"/>
        <v>#VALUE!</v>
      </c>
    </row>
    <row r="71" spans="1:24" ht="15" customHeight="1" x14ac:dyDescent="0.3">
      <c r="A71" s="116">
        <v>71</v>
      </c>
      <c r="B71" s="451"/>
      <c r="C71" s="142"/>
      <c r="D71" s="145"/>
      <c r="E71" s="117"/>
      <c r="F71" s="144" t="s">
        <v>149</v>
      </c>
      <c r="G71" s="365">
        <v>0</v>
      </c>
      <c r="H71" s="441"/>
      <c r="I71" s="580">
        <v>0</v>
      </c>
      <c r="J71" s="580">
        <v>0</v>
      </c>
      <c r="K71" s="580">
        <v>0</v>
      </c>
      <c r="L71" s="580">
        <v>0</v>
      </c>
      <c r="M71" s="366">
        <f t="shared" si="4"/>
        <v>0</v>
      </c>
      <c r="N71" s="34"/>
      <c r="P71" s="415" t="s">
        <v>722</v>
      </c>
      <c r="Q71" s="404">
        <v>223</v>
      </c>
      <c r="R71" s="403">
        <f t="shared" si="1"/>
        <v>42967</v>
      </c>
      <c r="S71" s="404">
        <f t="shared" si="5"/>
        <v>0</v>
      </c>
      <c r="T71" s="406" t="e">
        <f t="shared" si="2"/>
        <v>#VALUE!</v>
      </c>
    </row>
    <row r="72" spans="1:24" ht="15" customHeight="1" x14ac:dyDescent="0.3">
      <c r="A72" s="116">
        <v>72</v>
      </c>
      <c r="B72" s="451"/>
      <c r="C72" s="142"/>
      <c r="D72" s="145"/>
      <c r="E72" s="117"/>
      <c r="F72" s="144" t="s">
        <v>150</v>
      </c>
      <c r="G72" s="365">
        <v>0</v>
      </c>
      <c r="H72" s="441"/>
      <c r="I72" s="580">
        <v>0</v>
      </c>
      <c r="J72" s="580">
        <v>0</v>
      </c>
      <c r="K72" s="580">
        <v>0</v>
      </c>
      <c r="L72" s="580">
        <v>0</v>
      </c>
      <c r="M72" s="366">
        <f t="shared" si="4"/>
        <v>0</v>
      </c>
      <c r="N72" s="34"/>
      <c r="P72" s="415" t="s">
        <v>723</v>
      </c>
      <c r="Q72" s="404">
        <v>192</v>
      </c>
      <c r="R72" s="403">
        <f t="shared" si="1"/>
        <v>42998</v>
      </c>
      <c r="S72" s="404">
        <f t="shared" si="5"/>
        <v>0</v>
      </c>
      <c r="T72" s="406" t="e">
        <f t="shared" si="2"/>
        <v>#VALUE!</v>
      </c>
    </row>
    <row r="73" spans="1:24" ht="15" customHeight="1" x14ac:dyDescent="0.3">
      <c r="A73" s="116">
        <v>73</v>
      </c>
      <c r="B73" s="451"/>
      <c r="C73" s="142"/>
      <c r="D73" s="145"/>
      <c r="E73" s="117"/>
      <c r="F73" s="144" t="s">
        <v>151</v>
      </c>
      <c r="G73" s="365">
        <v>0</v>
      </c>
      <c r="H73" s="441"/>
      <c r="I73" s="580">
        <v>0</v>
      </c>
      <c r="J73" s="580">
        <v>0</v>
      </c>
      <c r="K73" s="580">
        <v>0</v>
      </c>
      <c r="L73" s="580">
        <v>0</v>
      </c>
      <c r="M73" s="366">
        <f t="shared" si="4"/>
        <v>0</v>
      </c>
      <c r="N73" s="34"/>
      <c r="P73" s="415" t="s">
        <v>724</v>
      </c>
      <c r="Q73" s="404">
        <v>162</v>
      </c>
      <c r="R73" s="403">
        <f t="shared" si="1"/>
        <v>43028</v>
      </c>
      <c r="S73" s="404">
        <f t="shared" si="5"/>
        <v>0</v>
      </c>
      <c r="T73" s="406" t="e">
        <f t="shared" si="2"/>
        <v>#VALUE!</v>
      </c>
    </row>
    <row r="74" spans="1:24" ht="15" customHeight="1" x14ac:dyDescent="0.3">
      <c r="A74" s="116">
        <v>74</v>
      </c>
      <c r="B74" s="451"/>
      <c r="C74" s="142"/>
      <c r="D74" s="145"/>
      <c r="E74" s="117"/>
      <c r="F74" s="144" t="s">
        <v>152</v>
      </c>
      <c r="G74" s="365">
        <v>0</v>
      </c>
      <c r="H74" s="441"/>
      <c r="I74" s="580">
        <v>0</v>
      </c>
      <c r="J74" s="580">
        <v>0</v>
      </c>
      <c r="K74" s="580">
        <v>0</v>
      </c>
      <c r="L74" s="580">
        <v>0</v>
      </c>
      <c r="M74" s="366">
        <f t="shared" si="4"/>
        <v>0</v>
      </c>
      <c r="N74" s="34"/>
      <c r="P74" s="415" t="s">
        <v>725</v>
      </c>
      <c r="Q74" s="404">
        <v>131</v>
      </c>
      <c r="R74" s="403">
        <f t="shared" si="1"/>
        <v>43059</v>
      </c>
      <c r="S74" s="404">
        <f t="shared" si="5"/>
        <v>0</v>
      </c>
      <c r="T74" s="406" t="e">
        <f t="shared" si="2"/>
        <v>#VALUE!</v>
      </c>
    </row>
    <row r="75" spans="1:24" ht="15" customHeight="1" x14ac:dyDescent="0.3">
      <c r="A75" s="116">
        <v>75</v>
      </c>
      <c r="B75" s="451"/>
      <c r="C75" s="142"/>
      <c r="D75" s="145"/>
      <c r="E75" s="117"/>
      <c r="F75" s="144" t="s">
        <v>153</v>
      </c>
      <c r="G75" s="365">
        <v>0</v>
      </c>
      <c r="H75" s="441"/>
      <c r="I75" s="580">
        <v>0</v>
      </c>
      <c r="J75" s="580">
        <v>0</v>
      </c>
      <c r="K75" s="580">
        <v>0</v>
      </c>
      <c r="L75" s="580">
        <v>0</v>
      </c>
      <c r="M75" s="366">
        <f t="shared" si="4"/>
        <v>0</v>
      </c>
      <c r="N75" s="34"/>
      <c r="P75" s="415" t="s">
        <v>726</v>
      </c>
      <c r="Q75" s="404">
        <v>101</v>
      </c>
      <c r="R75" s="403">
        <f t="shared" si="1"/>
        <v>43089</v>
      </c>
      <c r="S75" s="404">
        <f t="shared" si="5"/>
        <v>0</v>
      </c>
      <c r="T75" s="406" t="e">
        <f t="shared" si="2"/>
        <v>#VALUE!</v>
      </c>
    </row>
    <row r="76" spans="1:24" ht="15" customHeight="1" x14ac:dyDescent="0.3">
      <c r="A76" s="116">
        <v>76</v>
      </c>
      <c r="B76" s="451"/>
      <c r="C76" s="142"/>
      <c r="D76" s="145"/>
      <c r="E76" s="117"/>
      <c r="F76" s="144" t="s">
        <v>154</v>
      </c>
      <c r="G76" s="365">
        <v>0</v>
      </c>
      <c r="H76" s="441"/>
      <c r="I76" s="580">
        <v>0</v>
      </c>
      <c r="J76" s="580">
        <v>0</v>
      </c>
      <c r="K76" s="580">
        <v>0</v>
      </c>
      <c r="L76" s="580">
        <v>0</v>
      </c>
      <c r="M76" s="366">
        <f t="shared" si="4"/>
        <v>0</v>
      </c>
      <c r="N76" s="34"/>
      <c r="P76" s="415" t="s">
        <v>727</v>
      </c>
      <c r="Q76" s="404">
        <v>70</v>
      </c>
      <c r="R76" s="403">
        <f t="shared" si="1"/>
        <v>43120</v>
      </c>
      <c r="S76" s="404">
        <f t="shared" si="5"/>
        <v>0</v>
      </c>
      <c r="T76" s="406" t="e">
        <f t="shared" si="2"/>
        <v>#VALUE!</v>
      </c>
    </row>
    <row r="77" spans="1:24" ht="15" customHeight="1" x14ac:dyDescent="0.3">
      <c r="A77" s="116">
        <v>77</v>
      </c>
      <c r="B77" s="451"/>
      <c r="C77" s="142"/>
      <c r="D77" s="145"/>
      <c r="E77" s="117"/>
      <c r="F77" s="144" t="s">
        <v>155</v>
      </c>
      <c r="G77" s="365">
        <v>0</v>
      </c>
      <c r="H77" s="441"/>
      <c r="I77" s="580">
        <v>0</v>
      </c>
      <c r="J77" s="580">
        <v>0</v>
      </c>
      <c r="K77" s="580">
        <v>0</v>
      </c>
      <c r="L77" s="580">
        <v>0</v>
      </c>
      <c r="M77" s="366">
        <f t="shared" si="4"/>
        <v>0</v>
      </c>
      <c r="N77" s="34"/>
      <c r="P77" s="415" t="s">
        <v>728</v>
      </c>
      <c r="Q77" s="404">
        <v>39</v>
      </c>
      <c r="R77" s="403">
        <f t="shared" si="1"/>
        <v>43151</v>
      </c>
      <c r="S77" s="404">
        <f t="shared" si="5"/>
        <v>0</v>
      </c>
      <c r="T77" s="406" t="e">
        <f t="shared" si="2"/>
        <v>#VALUE!</v>
      </c>
    </row>
    <row r="78" spans="1:24" ht="15" customHeight="1" thickBot="1" x14ac:dyDescent="0.35">
      <c r="A78" s="116">
        <v>78</v>
      </c>
      <c r="B78" s="451"/>
      <c r="C78" s="142"/>
      <c r="D78" s="145"/>
      <c r="E78" s="117"/>
      <c r="F78" s="144" t="s">
        <v>156</v>
      </c>
      <c r="G78" s="365">
        <v>0</v>
      </c>
      <c r="H78" s="441"/>
      <c r="I78" s="580">
        <v>0</v>
      </c>
      <c r="J78" s="580">
        <v>0</v>
      </c>
      <c r="K78" s="580">
        <v>0</v>
      </c>
      <c r="L78" s="580">
        <v>0</v>
      </c>
      <c r="M78" s="366">
        <f t="shared" si="4"/>
        <v>0</v>
      </c>
      <c r="N78" s="34"/>
      <c r="P78" s="415" t="s">
        <v>729</v>
      </c>
      <c r="Q78" s="404">
        <v>11</v>
      </c>
      <c r="R78" s="403">
        <f t="shared" si="1"/>
        <v>43179</v>
      </c>
      <c r="S78" s="404">
        <f t="shared" si="5"/>
        <v>0</v>
      </c>
      <c r="T78" s="406" t="e">
        <f t="shared" si="2"/>
        <v>#VALUE!</v>
      </c>
    </row>
    <row r="79" spans="1:24" ht="15" customHeight="1" thickBot="1" x14ac:dyDescent="0.35">
      <c r="A79" s="116">
        <v>79</v>
      </c>
      <c r="B79" s="451"/>
      <c r="C79" s="142"/>
      <c r="D79" s="145"/>
      <c r="E79" s="120" t="s">
        <v>3</v>
      </c>
      <c r="F79" s="144"/>
      <c r="G79" s="427">
        <f>SUM(G67:G78)</f>
        <v>0</v>
      </c>
      <c r="H79" s="428"/>
      <c r="I79" s="427">
        <f t="shared" ref="I79:L79" si="6">SUM(I67:I78)</f>
        <v>0</v>
      </c>
      <c r="J79" s="427">
        <f t="shared" si="6"/>
        <v>0</v>
      </c>
      <c r="K79" s="427">
        <f t="shared" si="6"/>
        <v>0</v>
      </c>
      <c r="L79" s="427">
        <f t="shared" si="6"/>
        <v>0</v>
      </c>
      <c r="M79" s="367">
        <f>I79+J79-K79-L79</f>
        <v>0</v>
      </c>
      <c r="N79" s="34"/>
      <c r="P79" s="415" t="s">
        <v>730</v>
      </c>
      <c r="Q79" s="404">
        <v>-20</v>
      </c>
      <c r="R79" s="403">
        <f t="shared" si="1"/>
        <v>43210</v>
      </c>
      <c r="S79" s="404">
        <f t="shared" si="5"/>
        <v>0</v>
      </c>
      <c r="T79" s="406" t="e">
        <f t="shared" si="2"/>
        <v>#VALUE!</v>
      </c>
    </row>
    <row r="80" spans="1:24" s="113" customFormat="1" ht="15" customHeight="1" thickBot="1" x14ac:dyDescent="0.35">
      <c r="A80" s="116">
        <v>80</v>
      </c>
      <c r="B80" s="451"/>
      <c r="C80" s="142"/>
      <c r="D80" s="145"/>
      <c r="E80" s="117"/>
      <c r="F80" s="144"/>
      <c r="G80" s="144"/>
      <c r="H80" s="451"/>
      <c r="I80" s="451"/>
      <c r="J80" s="451"/>
      <c r="K80" s="451"/>
      <c r="L80" s="451"/>
      <c r="M80" s="441"/>
      <c r="N80" s="34"/>
      <c r="O80" s="214"/>
      <c r="P80" s="416" t="s">
        <v>699</v>
      </c>
      <c r="Q80" s="110">
        <v>182</v>
      </c>
      <c r="R80" s="403">
        <f t="shared" si="1"/>
        <v>43008</v>
      </c>
      <c r="S80" s="417" t="e">
        <f>-M81</f>
        <v>#VALUE!</v>
      </c>
      <c r="T80" s="406" t="e">
        <f t="shared" si="2"/>
        <v>#VALUE!</v>
      </c>
      <c r="U80" s="27"/>
      <c r="V80" s="27"/>
      <c r="W80" s="27"/>
      <c r="X80" s="27"/>
    </row>
    <row r="81" spans="1:24" ht="15.75" customHeight="1" thickBot="1" x14ac:dyDescent="0.35">
      <c r="A81" s="116">
        <v>81</v>
      </c>
      <c r="B81" s="451"/>
      <c r="C81" s="142"/>
      <c r="D81" s="145"/>
      <c r="E81" s="302" t="s">
        <v>144</v>
      </c>
      <c r="F81" s="287"/>
      <c r="G81" s="426"/>
      <c r="H81" s="451"/>
      <c r="I81" s="451"/>
      <c r="J81" s="451"/>
      <c r="K81" s="451"/>
      <c r="L81" s="451"/>
      <c r="M81" s="328" t="str">
        <f>IF(M79=0,"N/A",K41)</f>
        <v>N/A</v>
      </c>
      <c r="N81" s="34"/>
      <c r="O81" s="214" t="s">
        <v>837</v>
      </c>
      <c r="P81" s="415" t="s">
        <v>701</v>
      </c>
      <c r="Q81" s="404">
        <v>0</v>
      </c>
      <c r="R81" s="403">
        <f t="shared" si="1"/>
        <v>43190</v>
      </c>
      <c r="S81" s="405" t="str">
        <f>M83</f>
        <v>N/A</v>
      </c>
      <c r="T81" s="406" t="e">
        <f t="shared" si="2"/>
        <v>#VALUE!</v>
      </c>
      <c r="U81" s="113"/>
      <c r="V81" s="113"/>
      <c r="W81" s="113"/>
      <c r="X81" s="113"/>
    </row>
    <row r="82" spans="1:24" ht="15" customHeight="1" thickBot="1" x14ac:dyDescent="0.35">
      <c r="A82" s="116">
        <v>82</v>
      </c>
      <c r="B82" s="451"/>
      <c r="C82" s="142"/>
      <c r="D82" s="145"/>
      <c r="E82" s="117"/>
      <c r="F82" s="144"/>
      <c r="G82" s="144"/>
      <c r="H82" s="451"/>
      <c r="I82" s="451"/>
      <c r="J82" s="451"/>
      <c r="K82" s="451"/>
      <c r="L82" s="451"/>
      <c r="M82" s="441"/>
      <c r="N82" s="34"/>
      <c r="P82" s="415" t="s">
        <v>139</v>
      </c>
      <c r="Q82" s="404">
        <v>0</v>
      </c>
      <c r="R82" s="403">
        <f t="shared" si="1"/>
        <v>43190</v>
      </c>
      <c r="S82" s="405" t="str">
        <f>M85</f>
        <v>N/A</v>
      </c>
      <c r="T82" s="406" t="e">
        <f t="shared" si="2"/>
        <v>#VALUE!</v>
      </c>
    </row>
    <row r="83" spans="1:24" s="250" customFormat="1" ht="15" customHeight="1" thickBot="1" x14ac:dyDescent="0.35">
      <c r="A83" s="116">
        <v>83</v>
      </c>
      <c r="B83" s="451"/>
      <c r="C83" s="142"/>
      <c r="D83" s="145"/>
      <c r="E83" s="295" t="s">
        <v>158</v>
      </c>
      <c r="F83" s="287"/>
      <c r="G83" s="287"/>
      <c r="H83" s="257"/>
      <c r="I83" s="257"/>
      <c r="J83" s="257"/>
      <c r="K83" s="350"/>
      <c r="L83" s="379"/>
      <c r="M83" s="328" t="str">
        <f>IF(M79=0,"N/A",L45)</f>
        <v>N/A</v>
      </c>
      <c r="N83" s="34"/>
      <c r="O83" s="214" t="s">
        <v>759</v>
      </c>
      <c r="P83" s="408"/>
      <c r="Q83" s="30"/>
      <c r="R83" s="115"/>
      <c r="S83" s="30"/>
      <c r="T83" s="418"/>
      <c r="U83" s="27"/>
      <c r="V83" s="27"/>
      <c r="W83" s="27"/>
      <c r="X83" s="27"/>
    </row>
    <row r="84" spans="1:24" ht="15" customHeight="1" thickBot="1" x14ac:dyDescent="0.35">
      <c r="A84" s="116">
        <v>84</v>
      </c>
      <c r="B84" s="451"/>
      <c r="C84" s="142"/>
      <c r="D84" s="145"/>
      <c r="E84" s="117"/>
      <c r="F84" s="144"/>
      <c r="G84" s="144"/>
      <c r="H84" s="451"/>
      <c r="I84" s="451"/>
      <c r="J84" s="451"/>
      <c r="K84" s="451"/>
      <c r="L84" s="451"/>
      <c r="M84" s="379"/>
      <c r="N84" s="266"/>
      <c r="P84" s="14"/>
      <c r="Q84" s="115"/>
      <c r="R84" s="115"/>
      <c r="S84" s="483" t="s">
        <v>783</v>
      </c>
      <c r="T84" s="480" t="e">
        <f>0.1*SIGN(SUM(S55:S82))</f>
        <v>#VALUE!</v>
      </c>
      <c r="U84" s="250"/>
      <c r="V84" s="250"/>
      <c r="W84" s="250"/>
      <c r="X84" s="250"/>
    </row>
    <row r="85" spans="1:24" s="250" customFormat="1" ht="15" customHeight="1" thickBot="1" x14ac:dyDescent="0.35">
      <c r="A85" s="116">
        <v>85</v>
      </c>
      <c r="B85" s="451"/>
      <c r="C85" s="142"/>
      <c r="D85" s="145"/>
      <c r="E85" s="295" t="s">
        <v>139</v>
      </c>
      <c r="F85" s="287"/>
      <c r="G85" s="287"/>
      <c r="H85" s="257"/>
      <c r="I85" s="451"/>
      <c r="J85" s="451"/>
      <c r="K85" s="451"/>
      <c r="L85" s="451"/>
      <c r="M85" s="328" t="str">
        <f>IF(M79=0,"N/A",L51)</f>
        <v>N/A</v>
      </c>
      <c r="N85" s="34"/>
      <c r="O85" s="214" t="s">
        <v>838</v>
      </c>
      <c r="P85" s="14"/>
      <c r="Q85" s="115"/>
      <c r="R85" s="115"/>
      <c r="S85" s="483" t="s">
        <v>782</v>
      </c>
      <c r="T85" s="482" t="e">
        <f>XIRR(S55:S82,R55:R82,T84)</f>
        <v>#VALUE!</v>
      </c>
      <c r="U85" s="27"/>
      <c r="V85" s="27"/>
      <c r="W85" s="27"/>
      <c r="X85" s="27"/>
    </row>
    <row r="86" spans="1:24" ht="15" customHeight="1" x14ac:dyDescent="0.3">
      <c r="A86" s="116">
        <v>86</v>
      </c>
      <c r="B86" s="451"/>
      <c r="C86" s="142"/>
      <c r="D86" s="145"/>
      <c r="E86" s="117"/>
      <c r="F86" s="142"/>
      <c r="G86" s="142"/>
      <c r="H86" s="142"/>
      <c r="I86" s="142"/>
      <c r="J86" s="142"/>
      <c r="K86" s="142"/>
      <c r="L86" s="142"/>
      <c r="M86" s="142"/>
      <c r="N86" s="34"/>
      <c r="P86" s="408"/>
      <c r="Q86" s="30"/>
      <c r="R86" s="115"/>
      <c r="S86" s="483" t="s">
        <v>784</v>
      </c>
      <c r="T86" s="411" t="e">
        <f>SUM(T55:T82)</f>
        <v>#VALUE!</v>
      </c>
      <c r="U86" s="250"/>
      <c r="V86" s="250"/>
      <c r="W86" s="250"/>
      <c r="X86" s="250"/>
    </row>
    <row r="87" spans="1:24" ht="15" customHeight="1" thickBot="1" x14ac:dyDescent="0.35">
      <c r="A87" s="116">
        <v>87</v>
      </c>
      <c r="B87" s="451"/>
      <c r="C87" s="142"/>
      <c r="D87" s="145"/>
      <c r="E87" s="117"/>
      <c r="F87" s="451"/>
      <c r="G87" s="451"/>
      <c r="H87" s="451"/>
      <c r="I87" s="257"/>
      <c r="J87" s="257"/>
      <c r="K87" s="350"/>
      <c r="L87" s="351"/>
      <c r="M87" s="257"/>
      <c r="N87" s="34"/>
      <c r="P87" s="14"/>
      <c r="Q87" s="115"/>
      <c r="R87" s="115"/>
      <c r="S87" s="409" t="s">
        <v>624</v>
      </c>
      <c r="T87" s="482" t="e">
        <f>IF(ABS(T86)&lt;0.01,T85,"ERROR")</f>
        <v>#VALUE!</v>
      </c>
    </row>
    <row r="88" spans="1:24" ht="15" customHeight="1" thickBot="1" x14ac:dyDescent="0.35">
      <c r="A88" s="116">
        <v>88</v>
      </c>
      <c r="B88" s="451"/>
      <c r="C88" s="142"/>
      <c r="D88" s="293" t="s">
        <v>686</v>
      </c>
      <c r="E88" s="293"/>
      <c r="F88" s="294"/>
      <c r="G88" s="294"/>
      <c r="H88" s="305"/>
      <c r="I88" s="271"/>
      <c r="J88" s="272"/>
      <c r="K88" s="272"/>
      <c r="L88" s="272"/>
      <c r="M88" s="348" t="str">
        <f>IF(M79=0,"N/A",T87)</f>
        <v>N/A</v>
      </c>
      <c r="N88" s="34"/>
      <c r="O88" s="214" t="s">
        <v>873</v>
      </c>
      <c r="P88" s="419" t="s">
        <v>794</v>
      </c>
      <c r="Q88" s="110"/>
      <c r="R88" s="115"/>
      <c r="S88" s="115"/>
      <c r="T88" s="253"/>
    </row>
    <row r="89" spans="1:24" s="29" customFormat="1" ht="15" customHeight="1" thickBot="1" x14ac:dyDescent="0.35">
      <c r="A89" s="116">
        <v>89</v>
      </c>
      <c r="B89" s="451"/>
      <c r="C89" s="142"/>
      <c r="D89" s="275"/>
      <c r="E89" s="273"/>
      <c r="F89" s="274"/>
      <c r="G89" s="274"/>
      <c r="H89" s="272"/>
      <c r="I89" s="272"/>
      <c r="J89" s="272"/>
      <c r="K89" s="272"/>
      <c r="L89" s="271"/>
      <c r="M89" s="257"/>
      <c r="N89" s="34"/>
      <c r="O89" s="214"/>
      <c r="P89" s="16"/>
      <c r="Q89" s="17"/>
      <c r="R89" s="17"/>
      <c r="S89" s="17"/>
      <c r="T89" s="18"/>
    </row>
    <row r="90" spans="1:24" s="29" customFormat="1" ht="15" customHeight="1" thickBot="1" x14ac:dyDescent="0.35">
      <c r="A90" s="116">
        <v>90</v>
      </c>
      <c r="B90" s="451"/>
      <c r="C90" s="142"/>
      <c r="D90" s="293" t="s">
        <v>687</v>
      </c>
      <c r="E90" s="293"/>
      <c r="F90" s="294"/>
      <c r="G90" s="294"/>
      <c r="H90" s="305"/>
      <c r="I90" s="272"/>
      <c r="J90" s="272"/>
      <c r="K90" s="272"/>
      <c r="L90" s="271"/>
      <c r="M90" s="348" t="str">
        <f>IF(M88="N/A","N/A",M88-($M$55*$M$56*$M$57))</f>
        <v>N/A</v>
      </c>
      <c r="N90" s="34"/>
      <c r="O90" s="214" t="s">
        <v>869</v>
      </c>
    </row>
    <row r="91" spans="1:24" s="29" customFormat="1" ht="15" customHeight="1" x14ac:dyDescent="0.3">
      <c r="A91" s="116">
        <v>91</v>
      </c>
      <c r="B91" s="451"/>
      <c r="C91" s="142"/>
      <c r="D91" s="145"/>
      <c r="E91" s="117"/>
      <c r="F91" s="144"/>
      <c r="G91" s="144"/>
      <c r="H91" s="451"/>
      <c r="I91" s="451"/>
      <c r="J91" s="451"/>
      <c r="K91" s="451"/>
      <c r="L91" s="441"/>
      <c r="M91" s="349"/>
      <c r="N91" s="34"/>
      <c r="O91" s="214"/>
    </row>
    <row r="92" spans="1:24" s="29" customFormat="1" ht="15" customHeight="1" x14ac:dyDescent="0.3">
      <c r="A92" s="116">
        <v>92</v>
      </c>
      <c r="B92" s="451"/>
      <c r="C92" s="142" t="s">
        <v>520</v>
      </c>
      <c r="D92" s="145"/>
      <c r="E92" s="117"/>
      <c r="F92" s="144"/>
      <c r="G92" s="144"/>
      <c r="H92" s="451"/>
      <c r="I92" s="451"/>
      <c r="J92" s="451"/>
      <c r="K92" s="451"/>
      <c r="L92" s="441"/>
      <c r="M92" s="349"/>
      <c r="N92" s="34"/>
      <c r="O92" s="214"/>
    </row>
    <row r="93" spans="1:24" s="29" customFormat="1" ht="15" customHeight="1" thickBot="1" x14ac:dyDescent="0.35">
      <c r="A93" s="116">
        <v>93</v>
      </c>
      <c r="B93" s="451"/>
      <c r="C93" s="142"/>
      <c r="D93" s="145"/>
      <c r="E93" s="117"/>
      <c r="F93" s="144"/>
      <c r="G93" s="144"/>
      <c r="H93" s="451"/>
      <c r="I93" s="451"/>
      <c r="J93" s="451"/>
      <c r="K93" s="451"/>
      <c r="L93" s="441"/>
      <c r="M93" s="349"/>
      <c r="N93" s="34"/>
      <c r="O93" s="214"/>
    </row>
    <row r="94" spans="1:24" s="29" customFormat="1" ht="15" customHeight="1" thickBot="1" x14ac:dyDescent="0.35">
      <c r="A94" s="116">
        <v>94</v>
      </c>
      <c r="B94" s="451"/>
      <c r="C94" s="142"/>
      <c r="D94" s="278" t="s">
        <v>688</v>
      </c>
      <c r="E94" s="281"/>
      <c r="F94" s="279"/>
      <c r="G94" s="279"/>
      <c r="H94" s="280"/>
      <c r="I94" s="451"/>
      <c r="J94" s="451"/>
      <c r="K94" s="451"/>
      <c r="L94" s="441"/>
      <c r="M94" s="347">
        <f>IF(L34=0,0,('S3.Regulatory Profit'!T31-(M107+M119))/(L34+0.5*K39))</f>
        <v>2.7842428270052066E-2</v>
      </c>
      <c r="N94" s="34"/>
      <c r="O94" s="214" t="s">
        <v>913</v>
      </c>
    </row>
    <row r="95" spans="1:24" s="29" customFormat="1" ht="15" customHeight="1" thickBot="1" x14ac:dyDescent="0.35">
      <c r="A95" s="116">
        <v>95</v>
      </c>
      <c r="B95" s="451"/>
      <c r="C95" s="142"/>
      <c r="D95" s="145"/>
      <c r="E95" s="117"/>
      <c r="F95" s="144"/>
      <c r="G95" s="144"/>
      <c r="H95" s="451"/>
      <c r="I95" s="451"/>
      <c r="J95" s="451"/>
      <c r="K95" s="451"/>
      <c r="L95" s="441"/>
      <c r="M95" s="349"/>
      <c r="N95" s="34"/>
      <c r="O95" s="214"/>
      <c r="P95" s="392" t="s">
        <v>884</v>
      </c>
      <c r="Q95" s="269"/>
      <c r="R95" s="269"/>
    </row>
    <row r="96" spans="1:24" s="29" customFormat="1" ht="15" customHeight="1" thickBot="1" x14ac:dyDescent="0.35">
      <c r="A96" s="116">
        <v>96</v>
      </c>
      <c r="B96" s="451"/>
      <c r="C96" s="142"/>
      <c r="D96" s="278" t="s">
        <v>689</v>
      </c>
      <c r="E96" s="281"/>
      <c r="F96" s="279"/>
      <c r="G96" s="279"/>
      <c r="H96" s="280"/>
      <c r="I96" s="451"/>
      <c r="J96" s="451"/>
      <c r="K96" s="451"/>
      <c r="L96" s="441"/>
      <c r="M96" s="347">
        <f>M94-($M$55*$M$56*$M$57)</f>
        <v>2.1928828270052065E-2</v>
      </c>
      <c r="N96" s="34"/>
      <c r="O96" s="214" t="s">
        <v>870</v>
      </c>
      <c r="P96" s="420" t="s">
        <v>875</v>
      </c>
      <c r="Q96" s="424" t="s">
        <v>876</v>
      </c>
      <c r="R96" s="425"/>
      <c r="S96" s="250"/>
      <c r="T96" s="250"/>
    </row>
    <row r="97" spans="1:20" s="250" customFormat="1" ht="15" customHeight="1" thickBot="1" x14ac:dyDescent="0.35">
      <c r="A97" s="116">
        <v>97</v>
      </c>
      <c r="B97" s="451"/>
      <c r="C97" s="142"/>
      <c r="D97" s="145"/>
      <c r="E97" s="117"/>
      <c r="F97" s="144"/>
      <c r="G97" s="144"/>
      <c r="H97" s="451"/>
      <c r="I97" s="451"/>
      <c r="J97" s="451"/>
      <c r="K97" s="451"/>
      <c r="L97" s="441"/>
      <c r="M97" s="349"/>
      <c r="N97" s="34"/>
      <c r="O97" s="214"/>
      <c r="P97" s="421">
        <f>L36</f>
        <v>60480.764859999996</v>
      </c>
      <c r="Q97" s="423" t="b">
        <f>(ROUND(P97,0)=ROUND(G79,0))</f>
        <v>0</v>
      </c>
      <c r="R97" s="422"/>
    </row>
    <row r="98" spans="1:20" s="250" customFormat="1" ht="15" customHeight="1" x14ac:dyDescent="0.3">
      <c r="A98" s="116">
        <v>98</v>
      </c>
      <c r="B98" s="451"/>
      <c r="C98" s="142"/>
      <c r="D98" s="89" t="s">
        <v>484</v>
      </c>
      <c r="E98" s="117"/>
      <c r="F98" s="144"/>
      <c r="G98" s="144"/>
      <c r="H98" s="451"/>
      <c r="I98" s="451"/>
      <c r="J98" s="451"/>
      <c r="K98" s="451"/>
      <c r="L98" s="441"/>
      <c r="M98" s="349"/>
      <c r="N98" s="34"/>
      <c r="O98" s="214"/>
      <c r="P98" s="269"/>
      <c r="Q98" s="269"/>
      <c r="R98" s="269"/>
    </row>
    <row r="99" spans="1:20" s="250" customFormat="1" ht="15" customHeight="1" thickBot="1" x14ac:dyDescent="0.35">
      <c r="A99" s="116">
        <v>99</v>
      </c>
      <c r="B99" s="451"/>
      <c r="C99" s="142"/>
      <c r="D99" s="89"/>
      <c r="E99" s="117"/>
      <c r="F99" s="144"/>
      <c r="G99" s="144"/>
      <c r="H99" s="451"/>
      <c r="I99" s="451"/>
      <c r="J99" s="451"/>
      <c r="K99" s="451"/>
      <c r="L99" s="441"/>
      <c r="M99" s="349"/>
      <c r="N99" s="34"/>
      <c r="O99" s="214"/>
      <c r="P99" s="392" t="s">
        <v>885</v>
      </c>
      <c r="Q99" s="269"/>
      <c r="R99" s="269"/>
    </row>
    <row r="100" spans="1:20" s="250" customFormat="1" ht="15" customHeight="1" thickBot="1" x14ac:dyDescent="0.35">
      <c r="A100" s="116">
        <v>100</v>
      </c>
      <c r="B100" s="451"/>
      <c r="C100" s="306" t="s">
        <v>895</v>
      </c>
      <c r="D100" s="307"/>
      <c r="E100" s="302"/>
      <c r="F100" s="287"/>
      <c r="G100" s="287"/>
      <c r="H100" s="88"/>
      <c r="I100" s="88"/>
      <c r="J100" s="88"/>
      <c r="K100" s="88"/>
      <c r="L100" s="292"/>
      <c r="M100" s="349"/>
      <c r="N100" s="34"/>
      <c r="O100" s="214"/>
      <c r="P100" s="420" t="s">
        <v>877</v>
      </c>
      <c r="Q100" s="424" t="s">
        <v>878</v>
      </c>
      <c r="R100" s="425"/>
    </row>
    <row r="101" spans="1:20" s="250" customFormat="1" ht="15" customHeight="1" thickBot="1" x14ac:dyDescent="0.35">
      <c r="A101" s="116">
        <v>101</v>
      </c>
      <c r="B101" s="451"/>
      <c r="C101" s="306"/>
      <c r="D101" s="307"/>
      <c r="E101" s="302"/>
      <c r="F101" s="287"/>
      <c r="G101" s="287"/>
      <c r="H101" s="88"/>
      <c r="I101" s="88"/>
      <c r="J101" s="88"/>
      <c r="K101" s="88"/>
      <c r="L101" s="292"/>
      <c r="M101" s="349"/>
      <c r="N101" s="34"/>
      <c r="O101" s="214"/>
      <c r="P101" s="421">
        <f>K38</f>
        <v>35306.318979999996</v>
      </c>
      <c r="Q101" s="423" t="b">
        <f>(ROUND(P101,0)=ROUND(I79,0))</f>
        <v>0</v>
      </c>
      <c r="R101" s="422"/>
    </row>
    <row r="102" spans="1:20" s="250" customFormat="1" ht="15" customHeight="1" x14ac:dyDescent="0.3">
      <c r="A102" s="116">
        <v>102</v>
      </c>
      <c r="B102" s="451"/>
      <c r="C102" s="306"/>
      <c r="D102" s="307"/>
      <c r="E102" s="287" t="s">
        <v>163</v>
      </c>
      <c r="F102" s="287"/>
      <c r="G102" s="287"/>
      <c r="H102" s="88"/>
      <c r="I102" s="88"/>
      <c r="J102" s="88"/>
      <c r="K102" s="88"/>
      <c r="L102" s="366">
        <f>'S3.Regulatory Profit'!T64</f>
        <v>0</v>
      </c>
      <c r="M102" s="349"/>
      <c r="N102" s="34"/>
      <c r="O102" s="214" t="s">
        <v>580</v>
      </c>
      <c r="P102" s="269"/>
      <c r="Q102" s="269"/>
      <c r="R102" s="269"/>
    </row>
    <row r="103" spans="1:20" s="250" customFormat="1" ht="15" customHeight="1" thickBot="1" x14ac:dyDescent="0.35">
      <c r="A103" s="116">
        <v>103</v>
      </c>
      <c r="B103" s="451"/>
      <c r="C103" s="306"/>
      <c r="D103" s="307"/>
      <c r="E103" s="287" t="s">
        <v>765</v>
      </c>
      <c r="F103" s="287"/>
      <c r="G103" s="287"/>
      <c r="H103" s="88"/>
      <c r="I103" s="88"/>
      <c r="J103" s="88"/>
      <c r="K103" s="88"/>
      <c r="L103" s="365">
        <v>0</v>
      </c>
      <c r="M103" s="349"/>
      <c r="N103" s="34"/>
      <c r="O103" s="214"/>
      <c r="P103" s="392" t="s">
        <v>886</v>
      </c>
      <c r="Q103" s="269"/>
      <c r="R103" s="269"/>
    </row>
    <row r="104" spans="1:20" s="250" customFormat="1" ht="15" customHeight="1" thickBot="1" x14ac:dyDescent="0.35">
      <c r="A104" s="116">
        <v>104</v>
      </c>
      <c r="B104" s="451"/>
      <c r="C104" s="306"/>
      <c r="D104" s="307"/>
      <c r="E104" s="287" t="s">
        <v>750</v>
      </c>
      <c r="F104" s="287"/>
      <c r="G104" s="287"/>
      <c r="H104" s="88"/>
      <c r="I104" s="88"/>
      <c r="J104" s="88"/>
      <c r="K104" s="88"/>
      <c r="L104" s="365">
        <v>0</v>
      </c>
      <c r="M104" s="349"/>
      <c r="N104" s="34"/>
      <c r="O104" s="214"/>
      <c r="P104" s="420" t="s">
        <v>880</v>
      </c>
      <c r="Q104" s="424" t="s">
        <v>879</v>
      </c>
      <c r="R104" s="425"/>
    </row>
    <row r="105" spans="1:20" s="269" customFormat="1" ht="15" customHeight="1" thickBot="1" x14ac:dyDescent="0.35">
      <c r="A105" s="116">
        <v>105</v>
      </c>
      <c r="B105" s="557"/>
      <c r="C105" s="306"/>
      <c r="D105" s="307"/>
      <c r="E105" s="287" t="s">
        <v>751</v>
      </c>
      <c r="F105" s="287"/>
      <c r="G105" s="287"/>
      <c r="H105" s="88"/>
      <c r="I105" s="88"/>
      <c r="J105" s="88"/>
      <c r="K105" s="88"/>
      <c r="L105" s="365">
        <f>-75737/1000</f>
        <v>-75.736999999999995</v>
      </c>
      <c r="M105" s="349"/>
      <c r="N105" s="34"/>
      <c r="O105" s="214"/>
      <c r="P105" s="421">
        <f>K39</f>
        <v>30905.744295935769</v>
      </c>
      <c r="Q105" s="423" t="b">
        <f>(ROUND(P105,0)=ROUND(J79,0))</f>
        <v>0</v>
      </c>
      <c r="R105" s="422"/>
    </row>
    <row r="106" spans="1:20" s="250" customFormat="1" ht="15" customHeight="1" x14ac:dyDescent="0.3">
      <c r="A106" s="116">
        <v>106</v>
      </c>
      <c r="B106" s="451"/>
      <c r="C106" s="306"/>
      <c r="D106" s="307"/>
      <c r="E106" s="287" t="s">
        <v>916</v>
      </c>
      <c r="F106" s="287"/>
      <c r="G106" s="287"/>
      <c r="H106" s="88"/>
      <c r="I106" s="88"/>
      <c r="J106" s="88"/>
      <c r="K106" s="88"/>
      <c r="L106" s="365">
        <v>0</v>
      </c>
      <c r="M106" s="349"/>
      <c r="N106" s="34"/>
      <c r="O106" s="214"/>
      <c r="P106" s="114"/>
      <c r="Q106" s="114"/>
      <c r="R106" s="114"/>
    </row>
    <row r="107" spans="1:20" s="250" customFormat="1" ht="15" customHeight="1" thickBot="1" x14ac:dyDescent="0.35">
      <c r="A107" s="116">
        <v>107</v>
      </c>
      <c r="B107" s="451"/>
      <c r="C107" s="306"/>
      <c r="D107" s="295" t="s">
        <v>740</v>
      </c>
      <c r="E107" s="302"/>
      <c r="F107" s="287"/>
      <c r="G107" s="287"/>
      <c r="H107" s="88"/>
      <c r="I107" s="88"/>
      <c r="J107" s="88"/>
      <c r="K107" s="88"/>
      <c r="L107" s="292"/>
      <c r="M107" s="366">
        <f>SUM(L102:L106)</f>
        <v>-75.736999999999995</v>
      </c>
      <c r="N107" s="34"/>
      <c r="O107" s="214"/>
      <c r="P107" s="392" t="s">
        <v>888</v>
      </c>
      <c r="Q107" s="269"/>
      <c r="R107" s="269"/>
      <c r="S107" s="6"/>
      <c r="T107" s="6"/>
    </row>
    <row r="108" spans="1:20" s="6" customFormat="1" ht="15" customHeight="1" thickBot="1" x14ac:dyDescent="0.35">
      <c r="A108" s="116">
        <v>108</v>
      </c>
      <c r="B108" s="451"/>
      <c r="C108" s="306"/>
      <c r="D108" s="307"/>
      <c r="E108" s="302"/>
      <c r="F108" s="287"/>
      <c r="G108" s="287"/>
      <c r="H108" s="88"/>
      <c r="I108" s="88"/>
      <c r="J108" s="88"/>
      <c r="K108" s="88"/>
      <c r="L108" s="292"/>
      <c r="M108" s="349"/>
      <c r="N108" s="34"/>
      <c r="O108" s="214"/>
      <c r="P108" s="420" t="s">
        <v>881</v>
      </c>
      <c r="Q108" s="424" t="s">
        <v>882</v>
      </c>
      <c r="R108" s="425"/>
    </row>
    <row r="109" spans="1:20" s="114" customFormat="1" ht="15" customHeight="1" thickBot="1" x14ac:dyDescent="0.35">
      <c r="A109" s="116">
        <v>109</v>
      </c>
      <c r="B109" s="451"/>
      <c r="C109" s="306"/>
      <c r="D109" s="295" t="s">
        <v>921</v>
      </c>
      <c r="E109" s="349"/>
      <c r="F109" s="349"/>
      <c r="G109" s="349"/>
      <c r="H109" s="349"/>
      <c r="I109" s="349"/>
      <c r="J109" s="349"/>
      <c r="K109" s="349"/>
      <c r="L109" s="349"/>
      <c r="M109" s="378">
        <f>M20-M21</f>
        <v>-3.0431747436522605E-4</v>
      </c>
      <c r="N109" s="34"/>
      <c r="O109" s="214" t="s">
        <v>839</v>
      </c>
      <c r="P109" s="421">
        <f>K40</f>
        <v>0</v>
      </c>
      <c r="Q109" s="423" t="b">
        <f>(ROUND(P109,0)=ROUND(K79,0))</f>
        <v>1</v>
      </c>
      <c r="R109" s="422"/>
    </row>
    <row r="110" spans="1:20" s="114" customFormat="1" ht="15" customHeight="1" x14ac:dyDescent="0.3">
      <c r="A110" s="116">
        <v>110</v>
      </c>
      <c r="B110" s="451"/>
      <c r="C110" s="306"/>
      <c r="D110" s="349"/>
      <c r="E110" s="349"/>
      <c r="F110" s="349"/>
      <c r="G110" s="349"/>
      <c r="H110" s="349"/>
      <c r="I110" s="349"/>
      <c r="J110" s="349"/>
      <c r="K110" s="349"/>
      <c r="L110" s="349"/>
      <c r="M110" s="349"/>
      <c r="N110" s="34"/>
      <c r="O110" s="214"/>
    </row>
    <row r="111" spans="1:20" s="114" customFormat="1" ht="15" customHeight="1" thickBot="1" x14ac:dyDescent="0.35">
      <c r="A111" s="116">
        <v>111</v>
      </c>
      <c r="B111" s="451"/>
      <c r="C111" s="306"/>
      <c r="D111" s="349"/>
      <c r="E111" s="287" t="s">
        <v>775</v>
      </c>
      <c r="F111" s="349"/>
      <c r="G111" s="349"/>
      <c r="H111" s="349"/>
      <c r="I111" s="349"/>
      <c r="J111" s="349"/>
      <c r="K111" s="349"/>
      <c r="L111" s="365">
        <f>'[1]Pass through Cost'!$C$29/1000</f>
        <v>2710</v>
      </c>
      <c r="M111" s="349"/>
      <c r="N111" s="34"/>
      <c r="O111" s="214"/>
      <c r="P111" s="392" t="s">
        <v>887</v>
      </c>
      <c r="Q111" s="269"/>
      <c r="R111" s="269"/>
    </row>
    <row r="112" spans="1:20" s="114" customFormat="1" ht="15" customHeight="1" thickBot="1" x14ac:dyDescent="0.35">
      <c r="A112" s="116">
        <v>112</v>
      </c>
      <c r="B112" s="451"/>
      <c r="C112" s="306"/>
      <c r="D112" s="307"/>
      <c r="E112" s="287" t="s">
        <v>776</v>
      </c>
      <c r="F112" s="349"/>
      <c r="G112" s="349"/>
      <c r="H112" s="349"/>
      <c r="I112" s="349"/>
      <c r="J112" s="349"/>
      <c r="K112" s="349"/>
      <c r="L112" s="365">
        <v>0</v>
      </c>
      <c r="M112" s="349"/>
      <c r="N112" s="34"/>
      <c r="O112" s="214"/>
      <c r="P112" s="420" t="s">
        <v>892</v>
      </c>
      <c r="Q112" s="424" t="s">
        <v>883</v>
      </c>
      <c r="R112" s="425"/>
    </row>
    <row r="113" spans="1:18" s="114" customFormat="1" ht="15" customHeight="1" thickBot="1" x14ac:dyDescent="0.35">
      <c r="A113" s="116">
        <v>113</v>
      </c>
      <c r="B113" s="451"/>
      <c r="C113" s="306"/>
      <c r="D113" s="307"/>
      <c r="E113" s="287" t="s">
        <v>777</v>
      </c>
      <c r="F113" s="349"/>
      <c r="G113" s="349"/>
      <c r="H113" s="349"/>
      <c r="I113" s="349"/>
      <c r="J113" s="349"/>
      <c r="K113" s="349"/>
      <c r="L113" s="365">
        <v>0</v>
      </c>
      <c r="M113" s="349"/>
      <c r="N113" s="34"/>
      <c r="O113" s="214"/>
      <c r="P113" s="421">
        <f>K42</f>
        <v>153.12378000000004</v>
      </c>
      <c r="Q113" s="423" t="b">
        <f>(ROUND(P113,0)=ROUND(L79,0))</f>
        <v>0</v>
      </c>
      <c r="R113" s="422"/>
    </row>
    <row r="114" spans="1:18" s="114" customFormat="1" ht="15" customHeight="1" x14ac:dyDescent="0.3">
      <c r="A114" s="116">
        <v>114</v>
      </c>
      <c r="B114" s="451"/>
      <c r="C114" s="306"/>
      <c r="D114" s="307"/>
      <c r="E114" s="287" t="s">
        <v>778</v>
      </c>
      <c r="F114" s="349"/>
      <c r="G114" s="349"/>
      <c r="H114" s="349"/>
      <c r="I114" s="349"/>
      <c r="J114" s="349"/>
      <c r="K114" s="349"/>
      <c r="L114" s="365">
        <f>'[1]Pass through Cost'!$C$35/1000</f>
        <v>557</v>
      </c>
      <c r="M114" s="349"/>
      <c r="N114" s="34"/>
      <c r="O114" s="214"/>
    </row>
    <row r="115" spans="1:18" s="114" customFormat="1" ht="15" customHeight="1" x14ac:dyDescent="0.3">
      <c r="A115" s="116">
        <v>115</v>
      </c>
      <c r="B115" s="451"/>
      <c r="C115" s="306"/>
      <c r="D115" s="307"/>
      <c r="E115" s="287" t="s">
        <v>890</v>
      </c>
      <c r="F115" s="349"/>
      <c r="G115" s="349"/>
      <c r="H115" s="349"/>
      <c r="I115" s="349"/>
      <c r="J115" s="349"/>
      <c r="K115" s="349"/>
      <c r="L115" s="365">
        <v>0</v>
      </c>
      <c r="M115" s="349"/>
      <c r="N115" s="34"/>
      <c r="O115" s="214"/>
    </row>
    <row r="116" spans="1:18" s="114" customFormat="1" ht="15" customHeight="1" x14ac:dyDescent="0.3">
      <c r="A116" s="116">
        <v>116</v>
      </c>
      <c r="B116" s="451"/>
      <c r="C116" s="306"/>
      <c r="D116" s="307"/>
      <c r="E116" s="287" t="s">
        <v>891</v>
      </c>
      <c r="F116" s="349"/>
      <c r="G116" s="349"/>
      <c r="H116" s="349"/>
      <c r="I116" s="349"/>
      <c r="J116" s="349"/>
      <c r="K116" s="349"/>
      <c r="L116" s="365">
        <f>'[1]Pass through Cost'!$C$30/1000</f>
        <v>2899</v>
      </c>
      <c r="M116" s="349"/>
      <c r="N116" s="34"/>
      <c r="O116" s="214"/>
    </row>
    <row r="117" spans="1:18" s="114" customFormat="1" ht="15" customHeight="1" x14ac:dyDescent="0.3">
      <c r="A117" s="116">
        <v>117</v>
      </c>
      <c r="B117" s="557"/>
      <c r="C117" s="306"/>
      <c r="D117" s="307"/>
      <c r="E117" s="287" t="s">
        <v>779</v>
      </c>
      <c r="F117" s="349"/>
      <c r="G117" s="349"/>
      <c r="H117" s="349"/>
      <c r="I117" s="349"/>
      <c r="J117" s="349"/>
      <c r="K117" s="349"/>
      <c r="L117" s="365">
        <v>0</v>
      </c>
      <c r="M117" s="349"/>
      <c r="N117" s="34"/>
      <c r="O117" s="214"/>
    </row>
    <row r="118" spans="1:18" s="114" customFormat="1" ht="15" customHeight="1" x14ac:dyDescent="0.3">
      <c r="A118" s="116">
        <v>118</v>
      </c>
      <c r="B118" s="451"/>
      <c r="C118" s="306"/>
      <c r="D118" s="307"/>
      <c r="E118" s="287" t="s">
        <v>917</v>
      </c>
      <c r="F118" s="349"/>
      <c r="G118" s="349"/>
      <c r="H118" s="349"/>
      <c r="I118" s="349"/>
      <c r="J118" s="349"/>
      <c r="K118" s="349"/>
      <c r="L118" s="365">
        <v>0</v>
      </c>
      <c r="M118" s="349"/>
      <c r="N118" s="34"/>
      <c r="O118" s="214"/>
    </row>
    <row r="119" spans="1:18" s="114" customFormat="1" ht="15" customHeight="1" x14ac:dyDescent="0.3">
      <c r="A119" s="116">
        <v>119</v>
      </c>
      <c r="B119" s="451"/>
      <c r="C119" s="306"/>
      <c r="D119" s="295" t="s">
        <v>780</v>
      </c>
      <c r="E119" s="349"/>
      <c r="F119" s="349"/>
      <c r="G119" s="349"/>
      <c r="H119" s="349"/>
      <c r="I119" s="349"/>
      <c r="J119" s="349"/>
      <c r="K119" s="349"/>
      <c r="L119" s="349"/>
      <c r="M119" s="366">
        <f>SUM(L111:L118)</f>
        <v>6166</v>
      </c>
      <c r="N119" s="34"/>
      <c r="O119" s="214"/>
    </row>
    <row r="120" spans="1:18" s="114" customFormat="1" ht="15" customHeight="1" thickBot="1" x14ac:dyDescent="0.35">
      <c r="A120" s="116">
        <v>120</v>
      </c>
      <c r="B120" s="451"/>
      <c r="C120" s="306"/>
      <c r="D120" s="349"/>
      <c r="E120" s="349"/>
      <c r="F120" s="349"/>
      <c r="G120" s="349"/>
      <c r="H120" s="349"/>
      <c r="I120" s="349"/>
      <c r="J120" s="349"/>
      <c r="K120" s="349"/>
      <c r="L120" s="349"/>
      <c r="M120" s="349"/>
      <c r="N120" s="34"/>
      <c r="O120" s="214"/>
    </row>
    <row r="121" spans="1:18" s="114" customFormat="1" ht="15" customHeight="1" thickBot="1" x14ac:dyDescent="0.35">
      <c r="A121" s="116">
        <v>121</v>
      </c>
      <c r="B121" s="451"/>
      <c r="C121" s="306"/>
      <c r="D121" s="295" t="s">
        <v>922</v>
      </c>
      <c r="E121" s="349"/>
      <c r="F121" s="349"/>
      <c r="G121" s="349"/>
      <c r="H121" s="349"/>
      <c r="I121" s="349"/>
      <c r="J121" s="349"/>
      <c r="K121" s="349"/>
      <c r="L121" s="349"/>
      <c r="M121" s="378">
        <f>M21-M22</f>
        <v>2.4561405181884752E-2</v>
      </c>
      <c r="N121" s="34"/>
      <c r="O121" s="214" t="s">
        <v>840</v>
      </c>
    </row>
    <row r="122" spans="1:18" s="6" customFormat="1" ht="18.75" x14ac:dyDescent="0.3">
      <c r="A122" s="39"/>
      <c r="B122" s="40"/>
      <c r="C122" s="57"/>
      <c r="D122" s="58"/>
      <c r="E122" s="59"/>
      <c r="F122" s="43"/>
      <c r="G122" s="43"/>
      <c r="H122" s="40"/>
      <c r="I122" s="40"/>
      <c r="J122" s="40"/>
      <c r="K122" s="40"/>
      <c r="L122" s="40"/>
      <c r="M122" s="40"/>
      <c r="N122" s="47"/>
      <c r="O122" s="217"/>
    </row>
  </sheetData>
  <sheetProtection formatRows="0" insertRows="0"/>
  <customSheetViews>
    <customSheetView guid="{21F2E024-704F-4E93-AC63-213755ECFFE0}" scale="70" showPageBreaks="1" showGridLines="0" printArea="1" view="pageBreakPreview" topLeftCell="C1">
      <pane ySplit="7" topLeftCell="A32" activePane="bottomLeft" state="frozen"/>
      <selection pane="bottomLeft" activeCell="L81" sqref="L81"/>
      <pageMargins left="0.70866141732283472" right="0.70866141732283472" top="0.74803149606299213" bottom="0.74803149606299213" header="0.31496062992125984" footer="0.31496062992125984"/>
      <pageSetup paperSize="9" scale="5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3">
    <mergeCell ref="A5:M5"/>
    <mergeCell ref="K2:M2"/>
    <mergeCell ref="K3:M3"/>
  </mergeCells>
  <conditionalFormatting sqref="G79">
    <cfRule type="expression" dxfId="24" priority="5" stopIfTrue="1">
      <formula>$Q$97&lt;&gt;TRUE</formula>
    </cfRule>
  </conditionalFormatting>
  <conditionalFormatting sqref="I79">
    <cfRule type="expression" dxfId="23" priority="1" stopIfTrue="1">
      <formula>$Q$101&lt;&gt;TRUE</formula>
    </cfRule>
  </conditionalFormatting>
  <conditionalFormatting sqref="L79">
    <cfRule type="expression" dxfId="22" priority="19" stopIfTrue="1">
      <formula>$Q$113&lt;&gt;TRUE</formula>
    </cfRule>
  </conditionalFormatting>
  <conditionalFormatting sqref="K79">
    <cfRule type="expression" dxfId="21" priority="20" stopIfTrue="1">
      <formula>$Q$109&lt;&gt;TRUE</formula>
    </cfRule>
  </conditionalFormatting>
  <conditionalFormatting sqref="J79">
    <cfRule type="expression" dxfId="20" priority="21" stopIfTrue="1">
      <formula>$Q$105&lt;&gt;TRUE</formula>
    </cfRule>
  </conditionalFormatting>
  <pageMargins left="0.70866141732283472" right="0.70866141732283472" top="0.74803149606299213" bottom="0.74803149606299213" header="0.31496062992125989" footer="0.31496062992125989"/>
  <pageSetup paperSize="9" scale="83" fitToHeight="0" orientation="portrait" r:id="rId2"/>
  <headerFooter alignWithMargins="0">
    <oddHeader>&amp;CCommerce Commission Information Disclosure Template</oddHeader>
    <oddFooter>&amp;L&amp;F&amp;C&amp;P&amp;R&amp;A</oddFooter>
  </headerFooter>
  <rowBreaks count="1" manualBreakCount="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V73"/>
  <sheetViews>
    <sheetView showGridLines="0" zoomScaleNormal="100" zoomScaleSheetLayoutView="100" workbookViewId="0"/>
  </sheetViews>
  <sheetFormatPr defaultColWidth="9.140625" defaultRowHeight="12.75" x14ac:dyDescent="0.2"/>
  <cols>
    <col min="1" max="1" width="4.28515625" style="20" customWidth="1"/>
    <col min="2" max="2" width="3.140625" style="20" customWidth="1"/>
    <col min="3" max="3" width="5.140625" style="20" customWidth="1"/>
    <col min="4" max="4" width="2.28515625" style="20" customWidth="1"/>
    <col min="5" max="5" width="1.5703125" style="210" customWidth="1"/>
    <col min="6" max="6" width="15.5703125" style="20" customWidth="1"/>
    <col min="7" max="7" width="13.42578125" style="20" customWidth="1"/>
    <col min="8" max="8" width="11.85546875" style="27" customWidth="1"/>
    <col min="9" max="9" width="19.5703125" style="27" customWidth="1"/>
    <col min="10" max="16" width="3.140625" style="27" customWidth="1"/>
    <col min="17" max="17" width="2.5703125" style="20" customWidth="1"/>
    <col min="18" max="18" width="2.28515625" style="20" customWidth="1"/>
    <col min="19" max="20" width="16.140625" style="20" customWidth="1"/>
    <col min="21" max="21" width="2.7109375" style="20" customWidth="1"/>
    <col min="22" max="22" width="17.28515625" style="217" customWidth="1"/>
    <col min="23" max="16384" width="9.140625" style="20"/>
  </cols>
  <sheetData>
    <row r="1" spans="1:22" s="10" customFormat="1" ht="15" customHeight="1" x14ac:dyDescent="0.2">
      <c r="A1" s="554"/>
      <c r="B1" s="546"/>
      <c r="C1" s="546"/>
      <c r="D1" s="546"/>
      <c r="E1" s="546"/>
      <c r="F1" s="546"/>
      <c r="G1" s="549"/>
      <c r="H1" s="549"/>
      <c r="I1" s="549"/>
      <c r="J1" s="549"/>
      <c r="K1" s="549"/>
      <c r="L1" s="549"/>
      <c r="M1" s="549"/>
      <c r="N1" s="549"/>
      <c r="O1" s="549"/>
      <c r="P1" s="549"/>
      <c r="Q1" s="549"/>
      <c r="R1" s="549"/>
      <c r="S1" s="546"/>
      <c r="T1" s="546"/>
      <c r="U1" s="548"/>
      <c r="V1" s="217"/>
    </row>
    <row r="2" spans="1:22" s="10" customFormat="1" ht="18" customHeight="1" x14ac:dyDescent="0.3">
      <c r="A2" s="48"/>
      <c r="B2" s="49"/>
      <c r="C2" s="49"/>
      <c r="D2" s="49"/>
      <c r="E2" s="49"/>
      <c r="F2" s="49"/>
      <c r="G2" s="49"/>
      <c r="H2" s="49"/>
      <c r="I2" s="49"/>
      <c r="J2" s="49"/>
      <c r="K2" s="49"/>
      <c r="L2" s="49"/>
      <c r="M2" s="49"/>
      <c r="N2" s="49"/>
      <c r="O2" s="49"/>
      <c r="P2" s="49"/>
      <c r="Q2" s="94" t="s">
        <v>8</v>
      </c>
      <c r="R2" s="614" t="str">
        <f>IF(NOT(ISBLANK(CoverSheet!$C$8)),CoverSheet!$C$8,"")</f>
        <v>Alpine Energy Limited</v>
      </c>
      <c r="S2" s="615"/>
      <c r="T2" s="616"/>
      <c r="U2" s="70"/>
      <c r="V2" s="217"/>
    </row>
    <row r="3" spans="1:22" s="10" customFormat="1" ht="18" customHeight="1" x14ac:dyDescent="0.25">
      <c r="A3" s="48"/>
      <c r="B3" s="49"/>
      <c r="C3" s="49"/>
      <c r="D3" s="49"/>
      <c r="E3" s="49"/>
      <c r="F3" s="49"/>
      <c r="G3" s="49"/>
      <c r="H3" s="49"/>
      <c r="I3" s="49"/>
      <c r="J3" s="49"/>
      <c r="K3" s="49"/>
      <c r="L3" s="49"/>
      <c r="M3" s="49"/>
      <c r="N3" s="49"/>
      <c r="O3" s="49"/>
      <c r="P3" s="49"/>
      <c r="Q3" s="94" t="s">
        <v>393</v>
      </c>
      <c r="R3" s="619">
        <f>IF(ISNUMBER(CoverSheet!$C$12),CoverSheet!$C$12,"")</f>
        <v>43190</v>
      </c>
      <c r="S3" s="620"/>
      <c r="T3" s="621"/>
      <c r="U3" s="70"/>
      <c r="V3" s="217"/>
    </row>
    <row r="4" spans="1:22" s="10" customFormat="1" ht="20.25" customHeight="1" x14ac:dyDescent="0.35">
      <c r="A4" s="545" t="s">
        <v>525</v>
      </c>
      <c r="B4" s="60"/>
      <c r="C4" s="49"/>
      <c r="D4" s="49"/>
      <c r="E4" s="49"/>
      <c r="F4" s="49"/>
      <c r="G4" s="71"/>
      <c r="H4" s="71"/>
      <c r="I4" s="71"/>
      <c r="J4" s="71"/>
      <c r="K4" s="71"/>
      <c r="L4" s="71"/>
      <c r="M4" s="71"/>
      <c r="N4" s="71"/>
      <c r="O4" s="71"/>
      <c r="P4" s="71"/>
      <c r="Q4" s="452"/>
      <c r="R4" s="71"/>
      <c r="S4" s="49"/>
      <c r="T4" s="49"/>
      <c r="U4" s="70"/>
      <c r="V4" s="217"/>
    </row>
    <row r="5" spans="1:22" s="282" customFormat="1" ht="42.75" customHeight="1" x14ac:dyDescent="0.2">
      <c r="A5" s="617" t="s">
        <v>763</v>
      </c>
      <c r="B5" s="618"/>
      <c r="C5" s="618"/>
      <c r="D5" s="618"/>
      <c r="E5" s="618"/>
      <c r="F5" s="618"/>
      <c r="G5" s="618"/>
      <c r="H5" s="618"/>
      <c r="I5" s="618"/>
      <c r="J5" s="618"/>
      <c r="K5" s="618"/>
      <c r="L5" s="618"/>
      <c r="M5" s="618"/>
      <c r="N5" s="618"/>
      <c r="O5" s="618"/>
      <c r="P5" s="618"/>
      <c r="Q5" s="618"/>
      <c r="R5" s="618"/>
      <c r="S5" s="618"/>
      <c r="T5" s="618"/>
      <c r="U5" s="70"/>
      <c r="V5" s="218"/>
    </row>
    <row r="6" spans="1:22" s="283" customFormat="1" ht="15" customHeight="1" x14ac:dyDescent="0.2">
      <c r="A6" s="87" t="s">
        <v>623</v>
      </c>
      <c r="B6" s="452"/>
      <c r="C6" s="53"/>
      <c r="D6" s="49"/>
      <c r="E6" s="49"/>
      <c r="F6" s="49"/>
      <c r="G6" s="71"/>
      <c r="H6" s="71"/>
      <c r="I6" s="71"/>
      <c r="J6" s="71"/>
      <c r="K6" s="71"/>
      <c r="L6" s="71"/>
      <c r="M6" s="71"/>
      <c r="N6" s="71"/>
      <c r="O6" s="71"/>
      <c r="P6" s="71"/>
      <c r="Q6" s="71"/>
      <c r="R6" s="71"/>
      <c r="S6" s="49"/>
      <c r="T6" s="49"/>
      <c r="U6" s="70"/>
      <c r="V6" s="217"/>
    </row>
    <row r="7" spans="1:22" ht="24.95" customHeight="1" x14ac:dyDescent="0.3">
      <c r="A7" s="116">
        <v>7</v>
      </c>
      <c r="B7" s="451"/>
      <c r="C7" s="164" t="s">
        <v>526</v>
      </c>
      <c r="D7" s="441"/>
      <c r="E7" s="441"/>
      <c r="F7" s="441"/>
      <c r="G7" s="441"/>
      <c r="H7" s="441"/>
      <c r="I7" s="441"/>
      <c r="J7" s="441"/>
      <c r="K7" s="441"/>
      <c r="L7" s="441"/>
      <c r="M7" s="441"/>
      <c r="N7" s="441"/>
      <c r="O7" s="441"/>
      <c r="P7" s="441"/>
      <c r="Q7" s="441"/>
      <c r="R7" s="441"/>
      <c r="S7" s="441"/>
      <c r="T7" s="176" t="s">
        <v>127</v>
      </c>
      <c r="U7" s="34"/>
      <c r="V7" s="215"/>
    </row>
    <row r="8" spans="1:22" ht="15" customHeight="1" x14ac:dyDescent="0.2">
      <c r="A8" s="116">
        <v>8</v>
      </c>
      <c r="B8" s="451"/>
      <c r="C8" s="447"/>
      <c r="D8" s="168"/>
      <c r="E8" s="168" t="s">
        <v>159</v>
      </c>
      <c r="F8" s="447"/>
      <c r="G8" s="172"/>
      <c r="H8" s="172"/>
      <c r="I8" s="172"/>
      <c r="J8" s="172"/>
      <c r="K8" s="172"/>
      <c r="L8" s="172"/>
      <c r="M8" s="172"/>
      <c r="N8" s="172"/>
      <c r="O8" s="172"/>
      <c r="P8" s="172"/>
      <c r="Q8" s="172"/>
      <c r="R8" s="172"/>
      <c r="S8" s="173"/>
      <c r="T8" s="173"/>
      <c r="U8" s="34"/>
      <c r="V8" s="215"/>
    </row>
    <row r="9" spans="1:22" ht="15" customHeight="1" x14ac:dyDescent="0.2">
      <c r="A9" s="116">
        <v>9</v>
      </c>
      <c r="B9" s="451"/>
      <c r="C9" s="224"/>
      <c r="D9" s="168"/>
      <c r="E9" s="168"/>
      <c r="F9" s="224" t="s">
        <v>343</v>
      </c>
      <c r="G9" s="224"/>
      <c r="H9" s="172"/>
      <c r="I9" s="172"/>
      <c r="J9" s="172"/>
      <c r="K9" s="172"/>
      <c r="L9" s="172"/>
      <c r="M9" s="172"/>
      <c r="N9" s="172"/>
      <c r="O9" s="172"/>
      <c r="P9" s="172"/>
      <c r="Q9" s="172"/>
      <c r="R9" s="172"/>
      <c r="S9" s="172"/>
      <c r="T9" s="326">
        <f>'S8.Billed Quantities+Revenues'!G68</f>
        <v>60480.764859999996</v>
      </c>
      <c r="U9" s="34"/>
      <c r="V9" s="214" t="s">
        <v>581</v>
      </c>
    </row>
    <row r="10" spans="1:22" ht="15" customHeight="1" x14ac:dyDescent="0.2">
      <c r="A10" s="116">
        <v>10</v>
      </c>
      <c r="B10" s="451"/>
      <c r="C10" s="224"/>
      <c r="D10" s="175" t="s">
        <v>6</v>
      </c>
      <c r="E10" s="175"/>
      <c r="F10" s="224" t="s">
        <v>511</v>
      </c>
      <c r="G10" s="224"/>
      <c r="H10" s="172"/>
      <c r="I10" s="172"/>
      <c r="J10" s="172"/>
      <c r="K10" s="172"/>
      <c r="L10" s="172"/>
      <c r="M10" s="172"/>
      <c r="N10" s="172"/>
      <c r="O10" s="172"/>
      <c r="P10" s="172"/>
      <c r="Q10" s="172"/>
      <c r="R10" s="172"/>
      <c r="S10" s="172"/>
      <c r="T10" s="581">
        <v>0</v>
      </c>
      <c r="U10" s="34"/>
      <c r="V10" s="214"/>
    </row>
    <row r="11" spans="1:22" s="21" customFormat="1" ht="15" customHeight="1" x14ac:dyDescent="0.2">
      <c r="A11" s="116">
        <v>11</v>
      </c>
      <c r="B11" s="451"/>
      <c r="C11" s="224"/>
      <c r="D11" s="175" t="s">
        <v>6</v>
      </c>
      <c r="E11" s="175"/>
      <c r="F11" s="224" t="s">
        <v>512</v>
      </c>
      <c r="G11" s="224"/>
      <c r="H11" s="172"/>
      <c r="I11" s="172"/>
      <c r="J11" s="172"/>
      <c r="K11" s="172"/>
      <c r="L11" s="172"/>
      <c r="M11" s="172"/>
      <c r="N11" s="172"/>
      <c r="O11" s="172"/>
      <c r="P11" s="172"/>
      <c r="Q11" s="172"/>
      <c r="R11" s="172"/>
      <c r="S11" s="172"/>
      <c r="T11" s="581">
        <f>'[2]S2.Return on Investment'!L79</f>
        <v>153.12378000000004</v>
      </c>
      <c r="U11" s="34"/>
      <c r="V11" s="214"/>
    </row>
    <row r="12" spans="1:22" s="21" customFormat="1" ht="15" customHeight="1" thickBot="1" x14ac:dyDescent="0.25">
      <c r="A12" s="116">
        <v>12</v>
      </c>
      <c r="B12" s="451"/>
      <c r="C12" s="224"/>
      <c r="D12" s="168"/>
      <c r="E12" s="168"/>
      <c r="F12" s="224"/>
      <c r="G12" s="224"/>
      <c r="H12" s="172"/>
      <c r="I12" s="172"/>
      <c r="J12" s="172"/>
      <c r="K12" s="172"/>
      <c r="L12" s="172"/>
      <c r="M12" s="172"/>
      <c r="N12" s="172"/>
      <c r="O12" s="172"/>
      <c r="P12" s="172"/>
      <c r="Q12" s="172"/>
      <c r="R12" s="172"/>
      <c r="S12" s="172"/>
      <c r="T12" s="451"/>
      <c r="U12" s="34"/>
      <c r="V12" s="214"/>
    </row>
    <row r="13" spans="1:22" ht="15" customHeight="1" thickBot="1" x14ac:dyDescent="0.25">
      <c r="A13" s="116">
        <v>13</v>
      </c>
      <c r="B13" s="451"/>
      <c r="C13" s="224"/>
      <c r="D13" s="120"/>
      <c r="E13" s="120" t="s">
        <v>160</v>
      </c>
      <c r="F13" s="224"/>
      <c r="G13" s="224"/>
      <c r="H13" s="172"/>
      <c r="I13" s="172"/>
      <c r="J13" s="172"/>
      <c r="K13" s="172"/>
      <c r="L13" s="172"/>
      <c r="M13" s="172"/>
      <c r="N13" s="172"/>
      <c r="O13" s="172"/>
      <c r="P13" s="172"/>
      <c r="Q13" s="172"/>
      <c r="R13" s="172"/>
      <c r="S13" s="169"/>
      <c r="T13" s="427">
        <f>T9+T10+T11</f>
        <v>60633.888639999997</v>
      </c>
      <c r="U13" s="34"/>
      <c r="V13" s="214"/>
    </row>
    <row r="14" spans="1:22" ht="20.100000000000001" customHeight="1" thickBot="1" x14ac:dyDescent="0.25">
      <c r="A14" s="116">
        <v>14</v>
      </c>
      <c r="B14" s="451"/>
      <c r="C14" s="224"/>
      <c r="D14" s="168"/>
      <c r="E14" s="168" t="s">
        <v>143</v>
      </c>
      <c r="F14" s="224"/>
      <c r="G14" s="224"/>
      <c r="H14" s="172"/>
      <c r="I14" s="172"/>
      <c r="J14" s="172"/>
      <c r="K14" s="172"/>
      <c r="L14" s="172"/>
      <c r="M14" s="172"/>
      <c r="N14" s="172"/>
      <c r="O14" s="172"/>
      <c r="P14" s="172"/>
      <c r="Q14" s="172"/>
      <c r="R14" s="172"/>
      <c r="S14" s="169"/>
      <c r="T14" s="451"/>
      <c r="U14" s="34"/>
      <c r="V14" s="214"/>
    </row>
    <row r="15" spans="1:22" ht="15" customHeight="1" thickBot="1" x14ac:dyDescent="0.25">
      <c r="A15" s="116">
        <v>15</v>
      </c>
      <c r="B15" s="451"/>
      <c r="C15" s="224"/>
      <c r="D15" s="171" t="s">
        <v>5</v>
      </c>
      <c r="E15" s="171"/>
      <c r="F15" s="224" t="s">
        <v>117</v>
      </c>
      <c r="G15" s="224"/>
      <c r="H15" s="172"/>
      <c r="I15" s="172"/>
      <c r="J15" s="172"/>
      <c r="K15" s="172"/>
      <c r="L15" s="172"/>
      <c r="M15" s="172"/>
      <c r="N15" s="172"/>
      <c r="O15" s="172"/>
      <c r="P15" s="172"/>
      <c r="Q15" s="172"/>
      <c r="R15" s="172"/>
      <c r="S15" s="172"/>
      <c r="T15" s="427">
        <f>'S6b.Actual Expenditure Opex'!S17</f>
        <v>17171.222980000002</v>
      </c>
      <c r="U15" s="34"/>
      <c r="V15" s="214" t="s">
        <v>582</v>
      </c>
    </row>
    <row r="16" spans="1:22" ht="15" customHeight="1" x14ac:dyDescent="0.2">
      <c r="A16" s="116">
        <v>16</v>
      </c>
      <c r="B16" s="451"/>
      <c r="C16" s="224"/>
      <c r="D16" s="171"/>
      <c r="E16" s="171"/>
      <c r="F16" s="224"/>
      <c r="G16" s="224"/>
      <c r="H16" s="172"/>
      <c r="I16" s="172"/>
      <c r="J16" s="172"/>
      <c r="K16" s="172"/>
      <c r="L16" s="172"/>
      <c r="M16" s="172"/>
      <c r="N16" s="172"/>
      <c r="O16" s="172"/>
      <c r="P16" s="172"/>
      <c r="Q16" s="172"/>
      <c r="R16" s="172"/>
      <c r="S16" s="172"/>
      <c r="T16" s="451"/>
      <c r="U16" s="34"/>
      <c r="V16" s="214"/>
    </row>
    <row r="17" spans="1:22" ht="15" customHeight="1" x14ac:dyDescent="0.2">
      <c r="A17" s="116">
        <v>17</v>
      </c>
      <c r="B17" s="451"/>
      <c r="C17" s="224"/>
      <c r="D17" s="171" t="s">
        <v>5</v>
      </c>
      <c r="E17" s="171"/>
      <c r="F17" s="294" t="s">
        <v>790</v>
      </c>
      <c r="G17" s="294"/>
      <c r="H17" s="308"/>
      <c r="I17" s="308"/>
      <c r="J17" s="172"/>
      <c r="K17" s="172"/>
      <c r="L17" s="172"/>
      <c r="M17" s="172"/>
      <c r="N17" s="172"/>
      <c r="O17" s="172"/>
      <c r="P17" s="172"/>
      <c r="Q17" s="172"/>
      <c r="R17" s="172"/>
      <c r="S17" s="172"/>
      <c r="T17" s="556">
        <f>T46</f>
        <v>18135.095999999998</v>
      </c>
      <c r="U17" s="34"/>
      <c r="V17" s="214" t="s">
        <v>905</v>
      </c>
    </row>
    <row r="18" spans="1:22" ht="15" customHeight="1" thickBot="1" x14ac:dyDescent="0.25">
      <c r="A18" s="116">
        <v>18</v>
      </c>
      <c r="B18" s="451"/>
      <c r="C18" s="224"/>
      <c r="D18" s="168"/>
      <c r="E18" s="168"/>
      <c r="F18" s="224"/>
      <c r="G18" s="224"/>
      <c r="H18" s="172"/>
      <c r="I18" s="172"/>
      <c r="J18" s="172"/>
      <c r="K18" s="172"/>
      <c r="L18" s="172"/>
      <c r="M18" s="172"/>
      <c r="N18" s="172"/>
      <c r="O18" s="172"/>
      <c r="P18" s="172"/>
      <c r="Q18" s="172"/>
      <c r="R18" s="172"/>
      <c r="S18" s="172"/>
      <c r="T18" s="451"/>
      <c r="U18" s="34"/>
      <c r="V18" s="214"/>
    </row>
    <row r="19" spans="1:22" ht="15" customHeight="1" thickBot="1" x14ac:dyDescent="0.25">
      <c r="A19" s="116">
        <v>19</v>
      </c>
      <c r="B19" s="451"/>
      <c r="C19" s="224"/>
      <c r="D19" s="168"/>
      <c r="E19" s="168" t="s">
        <v>131</v>
      </c>
      <c r="F19" s="224"/>
      <c r="G19" s="224"/>
      <c r="H19" s="172"/>
      <c r="I19" s="172"/>
      <c r="J19" s="172"/>
      <c r="K19" s="172"/>
      <c r="L19" s="172"/>
      <c r="M19" s="172"/>
      <c r="N19" s="172"/>
      <c r="O19" s="172"/>
      <c r="P19" s="172"/>
      <c r="Q19" s="172"/>
      <c r="R19" s="172"/>
      <c r="S19" s="169"/>
      <c r="T19" s="427">
        <f>T13-T15-T17</f>
        <v>25327.569660000001</v>
      </c>
      <c r="U19" s="34"/>
      <c r="V19" s="214"/>
    </row>
    <row r="20" spans="1:22" ht="15" customHeight="1" x14ac:dyDescent="0.2">
      <c r="A20" s="116">
        <v>20</v>
      </c>
      <c r="B20" s="451"/>
      <c r="C20" s="224"/>
      <c r="D20" s="168"/>
      <c r="E20" s="168"/>
      <c r="F20" s="224"/>
      <c r="G20" s="224"/>
      <c r="H20" s="172"/>
      <c r="I20" s="172"/>
      <c r="J20" s="172"/>
      <c r="K20" s="172"/>
      <c r="L20" s="172"/>
      <c r="M20" s="172"/>
      <c r="N20" s="172"/>
      <c r="O20" s="172"/>
      <c r="P20" s="172"/>
      <c r="Q20" s="172"/>
      <c r="R20" s="172"/>
      <c r="S20" s="169"/>
      <c r="T20" s="451"/>
      <c r="U20" s="34"/>
      <c r="V20" s="214"/>
    </row>
    <row r="21" spans="1:22" ht="15" customHeight="1" x14ac:dyDescent="0.2">
      <c r="A21" s="116">
        <v>21</v>
      </c>
      <c r="B21" s="451"/>
      <c r="C21" s="174"/>
      <c r="D21" s="171" t="s">
        <v>5</v>
      </c>
      <c r="E21" s="171"/>
      <c r="F21" s="224" t="s">
        <v>161</v>
      </c>
      <c r="G21" s="224"/>
      <c r="H21" s="172"/>
      <c r="I21" s="172"/>
      <c r="J21" s="172"/>
      <c r="K21" s="172"/>
      <c r="L21" s="172"/>
      <c r="M21" s="172"/>
      <c r="N21" s="172"/>
      <c r="O21" s="172"/>
      <c r="P21" s="172"/>
      <c r="Q21" s="172"/>
      <c r="R21" s="172"/>
      <c r="S21" s="169"/>
      <c r="T21" s="2">
        <f>'S4.RAB Value (Rolled Forward)'!P83</f>
        <v>12243.756617927396</v>
      </c>
      <c r="U21" s="34"/>
      <c r="V21" s="214" t="s">
        <v>578</v>
      </c>
    </row>
    <row r="22" spans="1:22" ht="15" customHeight="1" x14ac:dyDescent="0.2">
      <c r="A22" s="116">
        <v>22</v>
      </c>
      <c r="B22" s="451"/>
      <c r="C22" s="224"/>
      <c r="D22" s="168"/>
      <c r="E22" s="168"/>
      <c r="F22" s="224"/>
      <c r="G22" s="224"/>
      <c r="H22" s="172"/>
      <c r="I22" s="172"/>
      <c r="J22" s="172"/>
      <c r="K22" s="172"/>
      <c r="L22" s="172"/>
      <c r="M22" s="172"/>
      <c r="N22" s="172"/>
      <c r="O22" s="172"/>
      <c r="P22" s="172"/>
      <c r="Q22" s="172"/>
      <c r="R22" s="172"/>
      <c r="S22" s="169"/>
      <c r="T22" s="451"/>
      <c r="U22" s="34"/>
      <c r="V22" s="214"/>
    </row>
    <row r="23" spans="1:22" ht="15" customHeight="1" x14ac:dyDescent="0.2">
      <c r="A23" s="116">
        <v>23</v>
      </c>
      <c r="B23" s="451"/>
      <c r="C23" s="224"/>
      <c r="D23" s="175" t="s">
        <v>6</v>
      </c>
      <c r="E23" s="175"/>
      <c r="F23" s="224" t="s">
        <v>387</v>
      </c>
      <c r="G23" s="224"/>
      <c r="H23" s="172"/>
      <c r="I23" s="172"/>
      <c r="J23" s="172"/>
      <c r="K23" s="172"/>
      <c r="L23" s="172"/>
      <c r="M23" s="172"/>
      <c r="N23" s="172"/>
      <c r="O23" s="172"/>
      <c r="P23" s="172"/>
      <c r="Q23" s="172"/>
      <c r="R23" s="172"/>
      <c r="S23" s="169"/>
      <c r="T23" s="2">
        <f>'S4.RAB Value (Rolled Forward)'!P64</f>
        <v>1968.8855999999819</v>
      </c>
      <c r="U23" s="34"/>
      <c r="V23" s="214" t="s">
        <v>578</v>
      </c>
    </row>
    <row r="24" spans="1:22" s="29" customFormat="1" ht="15" customHeight="1" thickBot="1" x14ac:dyDescent="0.25">
      <c r="A24" s="116">
        <v>24</v>
      </c>
      <c r="B24" s="451"/>
      <c r="C24" s="224"/>
      <c r="D24" s="168"/>
      <c r="E24" s="168"/>
      <c r="F24" s="224"/>
      <c r="G24" s="224"/>
      <c r="H24" s="172"/>
      <c r="I24" s="172"/>
      <c r="J24" s="172"/>
      <c r="K24" s="172"/>
      <c r="L24" s="172"/>
      <c r="M24" s="172"/>
      <c r="N24" s="172"/>
      <c r="O24" s="172"/>
      <c r="P24" s="172"/>
      <c r="Q24" s="172"/>
      <c r="R24" s="172"/>
      <c r="S24" s="169"/>
      <c r="T24" s="451"/>
      <c r="U24" s="34"/>
      <c r="V24" s="214"/>
    </row>
    <row r="25" spans="1:22" s="29" customFormat="1" ht="15" customHeight="1" thickBot="1" x14ac:dyDescent="0.25">
      <c r="A25" s="116">
        <v>25</v>
      </c>
      <c r="B25" s="451"/>
      <c r="C25" s="224"/>
      <c r="D25" s="168"/>
      <c r="E25" s="293" t="s">
        <v>919</v>
      </c>
      <c r="F25" s="294"/>
      <c r="G25" s="294"/>
      <c r="H25" s="308"/>
      <c r="I25" s="172"/>
      <c r="J25" s="172"/>
      <c r="K25" s="172"/>
      <c r="L25" s="172"/>
      <c r="M25" s="172"/>
      <c r="N25" s="172"/>
      <c r="O25" s="172"/>
      <c r="P25" s="172"/>
      <c r="Q25" s="172"/>
      <c r="R25" s="172"/>
      <c r="S25" s="169"/>
      <c r="T25" s="427">
        <f>T19-T21+T23</f>
        <v>15052.698642072586</v>
      </c>
      <c r="U25" s="34"/>
      <c r="V25" s="214" t="s">
        <v>613</v>
      </c>
    </row>
    <row r="26" spans="1:22" ht="15" customHeight="1" x14ac:dyDescent="0.2">
      <c r="A26" s="116">
        <v>26</v>
      </c>
      <c r="B26" s="451"/>
      <c r="C26" s="224"/>
      <c r="D26" s="168"/>
      <c r="E26" s="168"/>
      <c r="F26" s="224"/>
      <c r="G26" s="224"/>
      <c r="H26" s="172"/>
      <c r="I26" s="172"/>
      <c r="J26" s="172"/>
      <c r="K26" s="172"/>
      <c r="L26" s="172"/>
      <c r="M26" s="172"/>
      <c r="N26" s="172"/>
      <c r="O26" s="172"/>
      <c r="P26" s="172"/>
      <c r="Q26" s="172"/>
      <c r="R26" s="172"/>
      <c r="S26" s="169"/>
      <c r="T26" s="451"/>
      <c r="U26" s="34"/>
      <c r="V26" s="214"/>
    </row>
    <row r="27" spans="1:22" s="269" customFormat="1" ht="15" customHeight="1" x14ac:dyDescent="0.2">
      <c r="A27" s="116">
        <v>27</v>
      </c>
      <c r="B27" s="451"/>
      <c r="C27" s="224"/>
      <c r="D27" s="171" t="s">
        <v>5</v>
      </c>
      <c r="E27" s="171"/>
      <c r="F27" s="224" t="s">
        <v>158</v>
      </c>
      <c r="G27" s="224"/>
      <c r="H27" s="172"/>
      <c r="I27" s="172"/>
      <c r="J27" s="172"/>
      <c r="K27" s="172"/>
      <c r="L27" s="172"/>
      <c r="M27" s="172"/>
      <c r="N27" s="172"/>
      <c r="O27" s="172"/>
      <c r="P27" s="172"/>
      <c r="Q27" s="172"/>
      <c r="R27" s="172"/>
      <c r="S27" s="169"/>
      <c r="T27" s="2">
        <f>'S5c.TCSD Allowance'!I27</f>
        <v>0</v>
      </c>
      <c r="U27" s="34"/>
      <c r="V27" s="217" t="s">
        <v>792</v>
      </c>
    </row>
    <row r="28" spans="1:22" s="269" customFormat="1" ht="15" customHeight="1" x14ac:dyDescent="0.2">
      <c r="A28" s="116">
        <v>28</v>
      </c>
      <c r="B28" s="451"/>
      <c r="C28" s="224"/>
      <c r="D28" s="168"/>
      <c r="E28" s="168"/>
      <c r="F28" s="224"/>
      <c r="G28" s="224"/>
      <c r="H28" s="172"/>
      <c r="I28" s="172"/>
      <c r="J28" s="172"/>
      <c r="K28" s="172"/>
      <c r="L28" s="172"/>
      <c r="M28" s="172"/>
      <c r="N28" s="172"/>
      <c r="O28" s="172"/>
      <c r="P28" s="172"/>
      <c r="Q28" s="172"/>
      <c r="R28" s="172"/>
      <c r="S28" s="169"/>
      <c r="T28" s="451"/>
      <c r="U28" s="34"/>
      <c r="V28" s="214"/>
    </row>
    <row r="29" spans="1:22" ht="15" customHeight="1" x14ac:dyDescent="0.2">
      <c r="A29" s="116">
        <v>29</v>
      </c>
      <c r="B29" s="451"/>
      <c r="C29" s="224"/>
      <c r="D29" s="171" t="s">
        <v>5</v>
      </c>
      <c r="E29" s="171"/>
      <c r="F29" s="224" t="s">
        <v>132</v>
      </c>
      <c r="G29" s="224"/>
      <c r="H29" s="172"/>
      <c r="I29" s="172"/>
      <c r="J29" s="172"/>
      <c r="K29" s="172"/>
      <c r="L29" s="172"/>
      <c r="M29" s="172"/>
      <c r="N29" s="172"/>
      <c r="O29" s="172"/>
      <c r="P29" s="172"/>
      <c r="Q29" s="172"/>
      <c r="R29" s="172"/>
      <c r="S29" s="169"/>
      <c r="T29" s="2">
        <f>'S5a.Regulatory Tax Allowance'!J29</f>
        <v>3693.103734077954</v>
      </c>
      <c r="U29" s="34"/>
      <c r="V29" s="214" t="s">
        <v>841</v>
      </c>
    </row>
    <row r="30" spans="1:22" ht="15" customHeight="1" thickBot="1" x14ac:dyDescent="0.25">
      <c r="A30" s="116">
        <v>30</v>
      </c>
      <c r="B30" s="451"/>
      <c r="C30" s="224"/>
      <c r="D30" s="168"/>
      <c r="E30" s="168"/>
      <c r="F30" s="224"/>
      <c r="G30" s="224"/>
      <c r="H30" s="172"/>
      <c r="I30" s="172"/>
      <c r="J30" s="172"/>
      <c r="K30" s="172"/>
      <c r="L30" s="172"/>
      <c r="M30" s="172"/>
      <c r="N30" s="172"/>
      <c r="O30" s="172"/>
      <c r="P30" s="172"/>
      <c r="Q30" s="172"/>
      <c r="R30" s="172"/>
      <c r="S30" s="169"/>
      <c r="T30" s="451"/>
      <c r="U30" s="34"/>
      <c r="V30" s="214"/>
    </row>
    <row r="31" spans="1:22" ht="15" customHeight="1" thickBot="1" x14ac:dyDescent="0.25">
      <c r="A31" s="116">
        <v>31</v>
      </c>
      <c r="B31" s="451"/>
      <c r="C31" s="224"/>
      <c r="D31" s="168"/>
      <c r="E31" s="168" t="s">
        <v>907</v>
      </c>
      <c r="F31" s="224"/>
      <c r="G31" s="224"/>
      <c r="H31" s="172"/>
      <c r="I31" s="172"/>
      <c r="J31" s="172"/>
      <c r="K31" s="172"/>
      <c r="L31" s="172"/>
      <c r="M31" s="172"/>
      <c r="N31" s="172"/>
      <c r="O31" s="172"/>
      <c r="P31" s="172"/>
      <c r="Q31" s="172"/>
      <c r="R31" s="172"/>
      <c r="S31" s="169"/>
      <c r="T31" s="453">
        <f>T25-T27-T29</f>
        <v>11359.594907994633</v>
      </c>
      <c r="U31" s="34"/>
      <c r="V31" s="214" t="s">
        <v>906</v>
      </c>
    </row>
    <row r="32" spans="1:22" x14ac:dyDescent="0.2">
      <c r="A32" s="116">
        <v>32</v>
      </c>
      <c r="B32" s="451"/>
      <c r="C32" s="224"/>
      <c r="D32" s="224"/>
      <c r="E32" s="224"/>
      <c r="F32" s="224"/>
      <c r="G32" s="224"/>
      <c r="H32" s="172"/>
      <c r="I32" s="172"/>
      <c r="J32" s="172"/>
      <c r="K32" s="172"/>
      <c r="L32" s="172"/>
      <c r="M32" s="172"/>
      <c r="N32" s="172"/>
      <c r="O32" s="172"/>
      <c r="P32" s="172"/>
      <c r="Q32" s="172"/>
      <c r="R32" s="172"/>
      <c r="S32" s="172"/>
      <c r="T32" s="172"/>
      <c r="U32" s="34"/>
      <c r="V32" s="214"/>
    </row>
    <row r="33" spans="1:22" s="29" customFormat="1" ht="24.95" customHeight="1" x14ac:dyDescent="0.3">
      <c r="A33" s="116">
        <v>33</v>
      </c>
      <c r="B33" s="451"/>
      <c r="C33" s="309" t="s">
        <v>896</v>
      </c>
      <c r="D33" s="308"/>
      <c r="E33" s="308"/>
      <c r="F33" s="308"/>
      <c r="G33" s="308"/>
      <c r="H33" s="308"/>
      <c r="I33" s="308"/>
      <c r="J33" s="308"/>
      <c r="K33" s="308"/>
      <c r="L33" s="308"/>
      <c r="M33" s="308"/>
      <c r="N33" s="308"/>
      <c r="O33" s="308"/>
      <c r="P33" s="308"/>
      <c r="Q33" s="308"/>
      <c r="R33" s="172"/>
      <c r="S33" s="565" t="s">
        <v>127</v>
      </c>
      <c r="T33" s="565"/>
      <c r="U33" s="34"/>
      <c r="V33" s="215"/>
    </row>
    <row r="34" spans="1:22" s="10" customFormat="1" ht="15" customHeight="1" x14ac:dyDescent="0.2">
      <c r="A34" s="116">
        <v>34</v>
      </c>
      <c r="B34" s="209"/>
      <c r="C34" s="224"/>
      <c r="D34" s="120"/>
      <c r="E34" s="295" t="s">
        <v>753</v>
      </c>
      <c r="F34" s="295"/>
      <c r="G34" s="224"/>
      <c r="H34" s="224"/>
      <c r="I34" s="172"/>
      <c r="J34" s="172"/>
      <c r="K34" s="172"/>
      <c r="L34" s="172"/>
      <c r="M34" s="172"/>
      <c r="N34" s="172"/>
      <c r="O34" s="172"/>
      <c r="P34" s="172"/>
      <c r="Q34" s="172"/>
      <c r="R34" s="172"/>
      <c r="S34" s="169"/>
      <c r="T34" s="169"/>
      <c r="U34" s="34"/>
      <c r="V34" s="214"/>
    </row>
    <row r="35" spans="1:22" s="10" customFormat="1" ht="15" customHeight="1" x14ac:dyDescent="0.2">
      <c r="A35" s="116">
        <v>35</v>
      </c>
      <c r="B35" s="209"/>
      <c r="C35" s="224"/>
      <c r="D35" s="224"/>
      <c r="E35" s="224"/>
      <c r="F35" s="172" t="s">
        <v>162</v>
      </c>
      <c r="G35" s="172"/>
      <c r="H35" s="224"/>
      <c r="I35" s="172"/>
      <c r="J35" s="172"/>
      <c r="K35" s="172"/>
      <c r="L35" s="172"/>
      <c r="M35" s="172"/>
      <c r="N35" s="172"/>
      <c r="O35" s="172"/>
      <c r="P35" s="172"/>
      <c r="Q35" s="172"/>
      <c r="R35" s="172"/>
      <c r="S35" s="3">
        <v>76.436000000000007</v>
      </c>
      <c r="T35" s="169"/>
      <c r="U35" s="34"/>
      <c r="V35" s="214"/>
    </row>
    <row r="36" spans="1:22" s="10" customFormat="1" ht="15" customHeight="1" x14ac:dyDescent="0.2">
      <c r="A36" s="116">
        <v>36</v>
      </c>
      <c r="B36" s="209"/>
      <c r="C36" s="224"/>
      <c r="D36" s="224"/>
      <c r="E36" s="224"/>
      <c r="F36" s="172" t="s">
        <v>342</v>
      </c>
      <c r="G36" s="172"/>
      <c r="H36" s="224"/>
      <c r="I36" s="172"/>
      <c r="J36" s="172"/>
      <c r="K36" s="172"/>
      <c r="L36" s="172"/>
      <c r="M36" s="172"/>
      <c r="N36" s="172"/>
      <c r="O36" s="172"/>
      <c r="P36" s="172"/>
      <c r="Q36" s="172"/>
      <c r="R36" s="172"/>
      <c r="S36" s="3">
        <v>52.710999999999999</v>
      </c>
      <c r="T36" s="169"/>
      <c r="U36" s="34"/>
      <c r="V36" s="214"/>
    </row>
    <row r="37" spans="1:22" s="23" customFormat="1" ht="15" customHeight="1" x14ac:dyDescent="0.2">
      <c r="A37" s="116">
        <v>37</v>
      </c>
      <c r="B37" s="209"/>
      <c r="C37" s="224"/>
      <c r="D37" s="224"/>
      <c r="E37" s="224"/>
      <c r="F37" s="294" t="s">
        <v>743</v>
      </c>
      <c r="G37" s="294"/>
      <c r="H37" s="224"/>
      <c r="I37" s="172"/>
      <c r="J37" s="172"/>
      <c r="K37" s="172"/>
      <c r="L37" s="172"/>
      <c r="M37" s="172"/>
      <c r="N37" s="172"/>
      <c r="O37" s="172"/>
      <c r="P37" s="172"/>
      <c r="Q37" s="172"/>
      <c r="R37" s="172"/>
      <c r="S37" s="3">
        <v>155.19</v>
      </c>
      <c r="T37" s="169"/>
      <c r="U37" s="34"/>
      <c r="V37" s="214"/>
    </row>
    <row r="38" spans="1:22" s="10" customFormat="1" ht="15" customHeight="1" x14ac:dyDescent="0.2">
      <c r="A38" s="116">
        <v>38</v>
      </c>
      <c r="B38" s="209"/>
      <c r="C38" s="224"/>
      <c r="D38" s="224"/>
      <c r="E38" s="224"/>
      <c r="F38" s="294" t="s">
        <v>744</v>
      </c>
      <c r="G38" s="294"/>
      <c r="H38" s="224"/>
      <c r="I38" s="172"/>
      <c r="J38" s="172"/>
      <c r="K38" s="172"/>
      <c r="L38" s="172"/>
      <c r="M38" s="172"/>
      <c r="N38" s="172"/>
      <c r="O38" s="172"/>
      <c r="P38" s="172"/>
      <c r="Q38" s="172"/>
      <c r="R38" s="172"/>
      <c r="S38" s="3" t="s">
        <v>931</v>
      </c>
      <c r="T38" s="169"/>
      <c r="U38" s="34"/>
      <c r="V38" s="214"/>
    </row>
    <row r="39" spans="1:22" s="10" customFormat="1" ht="15" customHeight="1" x14ac:dyDescent="0.2">
      <c r="A39" s="116">
        <v>39</v>
      </c>
      <c r="B39" s="209"/>
      <c r="C39" s="224"/>
      <c r="D39" s="120"/>
      <c r="E39" s="295" t="s">
        <v>853</v>
      </c>
      <c r="F39" s="295"/>
      <c r="G39" s="294"/>
      <c r="H39" s="294"/>
      <c r="I39" s="308"/>
      <c r="J39" s="172"/>
      <c r="K39" s="172"/>
      <c r="L39" s="172"/>
      <c r="M39" s="172"/>
      <c r="N39" s="172"/>
      <c r="O39" s="172"/>
      <c r="P39" s="172"/>
      <c r="Q39" s="172"/>
      <c r="R39" s="172"/>
      <c r="S39" s="451"/>
      <c r="T39" s="169"/>
      <c r="U39" s="34"/>
      <c r="V39" s="214"/>
    </row>
    <row r="40" spans="1:22" s="10" customFormat="1" ht="15" customHeight="1" x14ac:dyDescent="0.2">
      <c r="A40" s="116">
        <v>40</v>
      </c>
      <c r="B40" s="209"/>
      <c r="C40" s="224"/>
      <c r="D40" s="224"/>
      <c r="E40" s="224"/>
      <c r="F40" s="308" t="s">
        <v>745</v>
      </c>
      <c r="G40" s="294"/>
      <c r="H40" s="294"/>
      <c r="I40" s="308"/>
      <c r="J40" s="172"/>
      <c r="K40" s="172"/>
      <c r="L40" s="172"/>
      <c r="M40" s="172"/>
      <c r="N40" s="172"/>
      <c r="O40" s="172"/>
      <c r="P40" s="172"/>
      <c r="Q40" s="172"/>
      <c r="R40" s="172"/>
      <c r="S40" s="3">
        <v>16332.263999999999</v>
      </c>
      <c r="T40" s="169"/>
      <c r="U40" s="34"/>
      <c r="V40" s="214"/>
    </row>
    <row r="41" spans="1:22" s="10" customFormat="1" ht="15" customHeight="1" x14ac:dyDescent="0.2">
      <c r="A41" s="116">
        <v>41</v>
      </c>
      <c r="B41" s="209"/>
      <c r="C41" s="224"/>
      <c r="D41" s="224"/>
      <c r="E41" s="224"/>
      <c r="F41" s="172" t="s">
        <v>164</v>
      </c>
      <c r="G41" s="224"/>
      <c r="H41" s="224"/>
      <c r="I41" s="172"/>
      <c r="J41" s="172"/>
      <c r="K41" s="172"/>
      <c r="L41" s="172"/>
      <c r="M41" s="172"/>
      <c r="N41" s="172"/>
      <c r="O41" s="172"/>
      <c r="P41" s="172"/>
      <c r="Q41" s="172"/>
      <c r="R41" s="172"/>
      <c r="S41" s="3">
        <v>1518.4949999999999</v>
      </c>
      <c r="T41" s="169"/>
      <c r="U41" s="34"/>
      <c r="V41" s="214"/>
    </row>
    <row r="42" spans="1:22" s="10" customFormat="1" ht="15" customHeight="1" x14ac:dyDescent="0.2">
      <c r="A42" s="116">
        <v>42</v>
      </c>
      <c r="B42" s="209"/>
      <c r="C42" s="224"/>
      <c r="D42" s="224"/>
      <c r="E42" s="224"/>
      <c r="F42" s="172" t="s">
        <v>165</v>
      </c>
      <c r="G42" s="224"/>
      <c r="H42" s="224"/>
      <c r="I42" s="172"/>
      <c r="J42" s="172"/>
      <c r="K42" s="172"/>
      <c r="L42" s="172"/>
      <c r="M42" s="172"/>
      <c r="N42" s="172"/>
      <c r="O42" s="172"/>
      <c r="P42" s="172"/>
      <c r="Q42" s="172"/>
      <c r="R42" s="172"/>
      <c r="S42" s="3">
        <v>0</v>
      </c>
      <c r="T42" s="169"/>
      <c r="U42" s="34"/>
      <c r="V42" s="214"/>
    </row>
    <row r="43" spans="1:22" s="10" customFormat="1" ht="15" customHeight="1" x14ac:dyDescent="0.2">
      <c r="A43" s="116">
        <v>43</v>
      </c>
      <c r="B43" s="209"/>
      <c r="C43" s="224"/>
      <c r="D43" s="224"/>
      <c r="E43" s="224"/>
      <c r="F43" s="294" t="s">
        <v>749</v>
      </c>
      <c r="G43" s="294"/>
      <c r="H43" s="224"/>
      <c r="I43" s="172"/>
      <c r="J43" s="172"/>
      <c r="K43" s="172"/>
      <c r="L43" s="172"/>
      <c r="M43" s="172"/>
      <c r="N43" s="172"/>
      <c r="O43" s="172"/>
      <c r="P43" s="172"/>
      <c r="Q43" s="172"/>
      <c r="R43" s="172"/>
      <c r="S43" s="3" t="s">
        <v>931</v>
      </c>
      <c r="T43" s="169"/>
      <c r="U43" s="34"/>
      <c r="V43" s="214"/>
    </row>
    <row r="44" spans="1:22" s="270" customFormat="1" ht="15" customHeight="1" x14ac:dyDescent="0.2">
      <c r="A44" s="116">
        <v>44</v>
      </c>
      <c r="B44" s="209"/>
      <c r="C44" s="224"/>
      <c r="D44" s="224"/>
      <c r="E44" s="224"/>
      <c r="F44" s="294" t="s">
        <v>755</v>
      </c>
      <c r="G44" s="294"/>
      <c r="H44" s="294"/>
      <c r="I44" s="308"/>
      <c r="J44" s="172"/>
      <c r="K44" s="172"/>
      <c r="L44" s="172"/>
      <c r="M44" s="172"/>
      <c r="N44" s="172"/>
      <c r="O44" s="172"/>
      <c r="P44" s="172"/>
      <c r="Q44" s="172"/>
      <c r="R44" s="172"/>
      <c r="S44" s="3" t="s">
        <v>931</v>
      </c>
      <c r="T44" s="169"/>
      <c r="U44" s="34"/>
      <c r="V44" s="214"/>
    </row>
    <row r="45" spans="1:22" s="270" customFormat="1" ht="15" customHeight="1" thickBot="1" x14ac:dyDescent="0.25">
      <c r="A45" s="116">
        <v>45</v>
      </c>
      <c r="B45" s="209"/>
      <c r="C45" s="224"/>
      <c r="D45" s="224"/>
      <c r="E45" s="224"/>
      <c r="F45" s="294" t="s">
        <v>914</v>
      </c>
      <c r="G45" s="294"/>
      <c r="H45" s="294"/>
      <c r="I45" s="308"/>
      <c r="J45" s="172"/>
      <c r="K45" s="172"/>
      <c r="L45" s="172"/>
      <c r="M45" s="172"/>
      <c r="N45" s="172"/>
      <c r="O45" s="172"/>
      <c r="P45" s="172"/>
      <c r="Q45" s="172"/>
      <c r="R45" s="172"/>
      <c r="S45" s="3" t="s">
        <v>931</v>
      </c>
      <c r="T45" s="169"/>
      <c r="U45" s="34"/>
      <c r="V45" s="214"/>
    </row>
    <row r="46" spans="1:22" s="10" customFormat="1" ht="15" customHeight="1" thickBot="1" x14ac:dyDescent="0.25">
      <c r="A46" s="116">
        <v>46</v>
      </c>
      <c r="B46" s="209"/>
      <c r="C46" s="224"/>
      <c r="D46" s="177"/>
      <c r="E46" s="310" t="s">
        <v>790</v>
      </c>
      <c r="F46" s="294"/>
      <c r="G46" s="294"/>
      <c r="H46" s="294"/>
      <c r="I46" s="308"/>
      <c r="J46" s="172"/>
      <c r="K46" s="172"/>
      <c r="L46" s="172"/>
      <c r="M46" s="172"/>
      <c r="N46" s="172"/>
      <c r="O46" s="172"/>
      <c r="P46" s="172"/>
      <c r="Q46" s="172"/>
      <c r="R46" s="172"/>
      <c r="S46" s="169"/>
      <c r="T46" s="453">
        <f>SUM(S35:S38,S40:S45)</f>
        <v>18135.095999999998</v>
      </c>
      <c r="U46" s="34"/>
      <c r="V46" s="214" t="s">
        <v>583</v>
      </c>
    </row>
    <row r="47" spans="1:22" s="33" customFormat="1" x14ac:dyDescent="0.2">
      <c r="A47" s="116">
        <v>47</v>
      </c>
      <c r="B47" s="209"/>
      <c r="C47" s="224"/>
      <c r="D47" s="177"/>
      <c r="E47" s="177"/>
      <c r="F47" s="224"/>
      <c r="G47" s="224"/>
      <c r="H47" s="224"/>
      <c r="I47" s="172"/>
      <c r="J47" s="172"/>
      <c r="K47" s="172"/>
      <c r="L47" s="172"/>
      <c r="M47" s="172"/>
      <c r="N47" s="172"/>
      <c r="O47" s="172"/>
      <c r="P47" s="172"/>
      <c r="Q47" s="172"/>
      <c r="R47" s="172"/>
      <c r="S47" s="169"/>
      <c r="T47" s="62"/>
      <c r="U47" s="34"/>
      <c r="V47" s="214"/>
    </row>
    <row r="48" spans="1:22" s="29" customFormat="1" ht="24.95" customHeight="1" x14ac:dyDescent="0.35">
      <c r="A48" s="116">
        <v>48</v>
      </c>
      <c r="B48" s="451"/>
      <c r="C48" s="162" t="s">
        <v>527</v>
      </c>
      <c r="D48" s="441"/>
      <c r="E48" s="441"/>
      <c r="F48" s="441"/>
      <c r="G48" s="441"/>
      <c r="H48" s="441"/>
      <c r="I48" s="441"/>
      <c r="J48" s="441"/>
      <c r="K48" s="441"/>
      <c r="L48" s="441"/>
      <c r="M48" s="441"/>
      <c r="N48" s="441"/>
      <c r="O48" s="441"/>
      <c r="P48" s="441"/>
      <c r="Q48" s="441"/>
      <c r="R48" s="441"/>
      <c r="S48" s="565" t="s">
        <v>127</v>
      </c>
      <c r="T48" s="565"/>
      <c r="U48" s="34"/>
      <c r="V48" s="215"/>
    </row>
    <row r="49" spans="1:22" s="10" customFormat="1" x14ac:dyDescent="0.2">
      <c r="A49" s="116">
        <v>49</v>
      </c>
      <c r="B49" s="209"/>
      <c r="C49" s="224"/>
      <c r="D49" s="224"/>
      <c r="E49" s="224"/>
      <c r="F49" s="224"/>
      <c r="G49" s="224"/>
      <c r="H49" s="172"/>
      <c r="I49" s="172"/>
      <c r="J49" s="172"/>
      <c r="K49" s="172"/>
      <c r="L49" s="172"/>
      <c r="M49" s="172"/>
      <c r="N49" s="172"/>
      <c r="O49" s="172"/>
      <c r="P49" s="172"/>
      <c r="Q49" s="172"/>
      <c r="R49" s="172"/>
      <c r="S49" s="176" t="s">
        <v>121</v>
      </c>
      <c r="T49" s="176" t="s">
        <v>166</v>
      </c>
      <c r="U49" s="34"/>
      <c r="V49" s="215"/>
    </row>
    <row r="50" spans="1:22" s="10" customFormat="1" x14ac:dyDescent="0.2">
      <c r="A50" s="116">
        <v>50</v>
      </c>
      <c r="B50" s="209"/>
      <c r="C50" s="224"/>
      <c r="D50" s="224"/>
      <c r="E50" s="224"/>
      <c r="F50" s="224"/>
      <c r="G50" s="224"/>
      <c r="H50" s="172"/>
      <c r="I50" s="172"/>
      <c r="J50" s="172"/>
      <c r="K50" s="172"/>
      <c r="L50" s="172"/>
      <c r="M50" s="172"/>
      <c r="N50" s="172"/>
      <c r="O50" s="172"/>
      <c r="P50" s="172"/>
      <c r="Q50" s="172"/>
      <c r="R50" s="172"/>
      <c r="S50" s="361">
        <f>IF(ISNUMBER(CoverSheet!$C$12),DATE(YEAR(CoverSheet!$C$12)-1,MONTH(CoverSheet!$C$12),DAY(CoverSheet!$C$12)),"")</f>
        <v>42825</v>
      </c>
      <c r="T50" s="361">
        <f>R3</f>
        <v>43190</v>
      </c>
      <c r="U50" s="34"/>
      <c r="V50" s="215"/>
    </row>
    <row r="51" spans="1:22" s="10" customFormat="1" ht="15" customHeight="1" x14ac:dyDescent="0.2">
      <c r="A51" s="116">
        <v>51</v>
      </c>
      <c r="B51" s="209"/>
      <c r="C51" s="224"/>
      <c r="D51" s="224"/>
      <c r="E51" s="224"/>
      <c r="F51" s="224" t="s">
        <v>167</v>
      </c>
      <c r="G51" s="224"/>
      <c r="H51" s="172"/>
      <c r="I51" s="172"/>
      <c r="J51" s="172"/>
      <c r="K51" s="172"/>
      <c r="L51" s="172"/>
      <c r="M51" s="172"/>
      <c r="N51" s="172"/>
      <c r="O51" s="172"/>
      <c r="P51" s="172"/>
      <c r="Q51" s="172"/>
      <c r="R51" s="172"/>
      <c r="S51" s="3" t="s">
        <v>931</v>
      </c>
      <c r="T51" s="3" t="s">
        <v>931</v>
      </c>
      <c r="U51" s="34"/>
      <c r="V51" s="214"/>
    </row>
    <row r="52" spans="1:22" s="10" customFormat="1" ht="15" customHeight="1" x14ac:dyDescent="0.2">
      <c r="A52" s="116">
        <v>52</v>
      </c>
      <c r="B52" s="209"/>
      <c r="C52" s="224"/>
      <c r="D52" s="224"/>
      <c r="E52" s="224"/>
      <c r="F52" s="224" t="s">
        <v>168</v>
      </c>
      <c r="G52" s="224"/>
      <c r="H52" s="172"/>
      <c r="I52" s="172"/>
      <c r="J52" s="172"/>
      <c r="K52" s="172"/>
      <c r="L52" s="172"/>
      <c r="M52" s="172"/>
      <c r="N52" s="172"/>
      <c r="O52" s="172"/>
      <c r="P52" s="172"/>
      <c r="Q52" s="172"/>
      <c r="R52" s="172"/>
      <c r="S52" s="330" t="s">
        <v>931</v>
      </c>
      <c r="T52" s="330" t="s">
        <v>931</v>
      </c>
      <c r="U52" s="34"/>
      <c r="V52" s="214"/>
    </row>
    <row r="53" spans="1:22" s="10" customFormat="1" ht="15" customHeight="1" x14ac:dyDescent="0.2">
      <c r="A53" s="116">
        <v>53</v>
      </c>
      <c r="B53" s="209"/>
      <c r="C53" s="224"/>
      <c r="D53" s="224"/>
      <c r="E53" s="224"/>
      <c r="F53" s="224"/>
      <c r="G53" s="224"/>
      <c r="H53" s="172"/>
      <c r="I53" s="172"/>
      <c r="J53" s="172"/>
      <c r="K53" s="172"/>
      <c r="L53" s="172"/>
      <c r="M53" s="172"/>
      <c r="N53" s="172"/>
      <c r="O53" s="172"/>
      <c r="P53" s="172"/>
      <c r="Q53" s="172"/>
      <c r="R53" s="172"/>
      <c r="S53" s="451"/>
      <c r="T53" s="451"/>
      <c r="U53" s="34"/>
      <c r="V53" s="214"/>
    </row>
    <row r="54" spans="1:22" s="10" customFormat="1" ht="15" customHeight="1" x14ac:dyDescent="0.2">
      <c r="A54" s="116">
        <v>54</v>
      </c>
      <c r="B54" s="209"/>
      <c r="C54" s="224"/>
      <c r="D54" s="224"/>
      <c r="E54" s="224"/>
      <c r="F54" s="224" t="s">
        <v>374</v>
      </c>
      <c r="G54" s="224"/>
      <c r="H54" s="172"/>
      <c r="I54" s="172"/>
      <c r="J54" s="172"/>
      <c r="K54" s="172"/>
      <c r="L54" s="172"/>
      <c r="M54" s="172"/>
      <c r="N54" s="172"/>
      <c r="O54" s="172"/>
      <c r="P54" s="172"/>
      <c r="Q54" s="172"/>
      <c r="R54" s="172"/>
      <c r="S54" s="451"/>
      <c r="T54" s="330" t="s">
        <v>931</v>
      </c>
      <c r="U54" s="34"/>
      <c r="V54" s="214"/>
    </row>
    <row r="55" spans="1:22" s="10" customFormat="1" x14ac:dyDescent="0.2">
      <c r="A55" s="116">
        <v>55</v>
      </c>
      <c r="B55" s="209"/>
      <c r="C55" s="224"/>
      <c r="D55" s="224"/>
      <c r="E55" s="224"/>
      <c r="F55" s="224"/>
      <c r="G55" s="224"/>
      <c r="H55" s="172"/>
      <c r="I55" s="172"/>
      <c r="J55" s="172"/>
      <c r="K55" s="172"/>
      <c r="L55" s="172"/>
      <c r="M55" s="172"/>
      <c r="N55" s="172"/>
      <c r="O55" s="172"/>
      <c r="P55" s="172"/>
      <c r="Q55" s="172"/>
      <c r="R55" s="172"/>
      <c r="S55" s="172"/>
      <c r="T55" s="172"/>
      <c r="U55" s="34"/>
      <c r="V55" s="214"/>
    </row>
    <row r="56" spans="1:22" s="10" customFormat="1" ht="56.25" customHeight="1" x14ac:dyDescent="0.2">
      <c r="A56" s="116">
        <v>56</v>
      </c>
      <c r="B56" s="209"/>
      <c r="C56" s="224"/>
      <c r="D56" s="224"/>
      <c r="E56" s="224"/>
      <c r="F56" s="224"/>
      <c r="G56" s="224"/>
      <c r="H56" s="172"/>
      <c r="I56" s="172"/>
      <c r="J56" s="172"/>
      <c r="K56" s="172"/>
      <c r="L56" s="172"/>
      <c r="M56" s="172"/>
      <c r="N56" s="172"/>
      <c r="O56" s="172"/>
      <c r="P56" s="172"/>
      <c r="Q56" s="172"/>
      <c r="R56" s="172"/>
      <c r="S56" s="436" t="s">
        <v>377</v>
      </c>
      <c r="T56" s="436" t="s">
        <v>378</v>
      </c>
      <c r="U56" s="34"/>
      <c r="V56" s="214"/>
    </row>
    <row r="57" spans="1:22" s="10" customFormat="1" ht="15" customHeight="1" x14ac:dyDescent="0.2">
      <c r="A57" s="116">
        <v>57</v>
      </c>
      <c r="B57" s="209"/>
      <c r="C57" s="224"/>
      <c r="D57" s="224"/>
      <c r="E57" s="224"/>
      <c r="F57" s="224" t="s">
        <v>169</v>
      </c>
      <c r="G57" s="359">
        <f>IF(ISNUMBER(CoverSheet!$C$12),DATE(YEAR(CoverSheet!$C$12)-5,MONTH(CoverSheet!$C$12),DAY(CoverSheet!$C$12)),"[year]")</f>
        <v>41364</v>
      </c>
      <c r="H57" s="143"/>
      <c r="I57" s="172"/>
      <c r="J57" s="172"/>
      <c r="K57" s="172"/>
      <c r="L57" s="172"/>
      <c r="M57" s="172"/>
      <c r="N57" s="172"/>
      <c r="O57" s="172"/>
      <c r="P57" s="172"/>
      <c r="Q57" s="172"/>
      <c r="R57" s="172"/>
      <c r="S57" s="330" t="s">
        <v>931</v>
      </c>
      <c r="T57" s="330" t="s">
        <v>931</v>
      </c>
      <c r="U57" s="34"/>
      <c r="V57" s="214"/>
    </row>
    <row r="58" spans="1:22" s="10" customFormat="1" ht="15" customHeight="1" x14ac:dyDescent="0.2">
      <c r="A58" s="116">
        <v>58</v>
      </c>
      <c r="B58" s="209"/>
      <c r="C58" s="224"/>
      <c r="D58" s="224"/>
      <c r="E58" s="224"/>
      <c r="F58" s="224" t="s">
        <v>170</v>
      </c>
      <c r="G58" s="359">
        <f>IF(ISNUMBER(CoverSheet!$C$12),DATE(YEAR(CoverSheet!$C$12)-4,MONTH(CoverSheet!$C$12),DAY(CoverSheet!$C$12)),"[year]")</f>
        <v>41729</v>
      </c>
      <c r="H58" s="143"/>
      <c r="I58" s="172"/>
      <c r="J58" s="172"/>
      <c r="K58" s="172"/>
      <c r="L58" s="172"/>
      <c r="M58" s="172"/>
      <c r="N58" s="172"/>
      <c r="O58" s="172"/>
      <c r="P58" s="172"/>
      <c r="Q58" s="172"/>
      <c r="R58" s="172"/>
      <c r="S58" s="330" t="s">
        <v>931</v>
      </c>
      <c r="T58" s="330" t="s">
        <v>931</v>
      </c>
      <c r="U58" s="34"/>
      <c r="V58" s="214"/>
    </row>
    <row r="59" spans="1:22" s="10" customFormat="1" ht="15" customHeight="1" x14ac:dyDescent="0.2">
      <c r="A59" s="116">
        <v>59</v>
      </c>
      <c r="B59" s="209"/>
      <c r="C59" s="224"/>
      <c r="D59" s="224"/>
      <c r="E59" s="224"/>
      <c r="F59" s="224" t="s">
        <v>171</v>
      </c>
      <c r="G59" s="359">
        <f>IF(ISNUMBER(CoverSheet!$C$12),DATE(YEAR(CoverSheet!$C$12)-3,MONTH(CoverSheet!$C$12),DAY(CoverSheet!$C$12)),"[year]")</f>
        <v>42094</v>
      </c>
      <c r="H59" s="143"/>
      <c r="I59" s="172"/>
      <c r="J59" s="172"/>
      <c r="K59" s="172"/>
      <c r="L59" s="172"/>
      <c r="M59" s="172"/>
      <c r="N59" s="172"/>
      <c r="O59" s="172"/>
      <c r="P59" s="172"/>
      <c r="Q59" s="172"/>
      <c r="R59" s="172"/>
      <c r="S59" s="330" t="s">
        <v>931</v>
      </c>
      <c r="T59" s="330" t="s">
        <v>931</v>
      </c>
      <c r="U59" s="34"/>
      <c r="V59" s="214"/>
    </row>
    <row r="60" spans="1:22" s="10" customFormat="1" ht="15" customHeight="1" x14ac:dyDescent="0.2">
      <c r="A60" s="116">
        <v>60</v>
      </c>
      <c r="B60" s="209"/>
      <c r="C60" s="224"/>
      <c r="D60" s="224"/>
      <c r="E60" s="224"/>
      <c r="F60" s="224" t="s">
        <v>120</v>
      </c>
      <c r="G60" s="359">
        <f>IF(ISNUMBER(CoverSheet!$C$12),DATE(YEAR(CoverSheet!$C$12)-2,MONTH(CoverSheet!$C$12),DAY(CoverSheet!$C$12)),"[year]")</f>
        <v>42460</v>
      </c>
      <c r="H60" s="143"/>
      <c r="I60" s="172"/>
      <c r="J60" s="172"/>
      <c r="K60" s="172"/>
      <c r="L60" s="172"/>
      <c r="M60" s="172"/>
      <c r="N60" s="172"/>
      <c r="O60" s="172"/>
      <c r="P60" s="172"/>
      <c r="Q60" s="172"/>
      <c r="R60" s="172"/>
      <c r="S60" s="330" t="s">
        <v>931</v>
      </c>
      <c r="T60" s="330" t="s">
        <v>931</v>
      </c>
      <c r="U60" s="34"/>
      <c r="V60" s="214"/>
    </row>
    <row r="61" spans="1:22" s="10" customFormat="1" ht="15" customHeight="1" thickBot="1" x14ac:dyDescent="0.25">
      <c r="A61" s="116">
        <v>61</v>
      </c>
      <c r="B61" s="209"/>
      <c r="C61" s="224"/>
      <c r="D61" s="224"/>
      <c r="E61" s="224"/>
      <c r="F61" s="224" t="s">
        <v>121</v>
      </c>
      <c r="G61" s="359">
        <f>IF(ISNUMBER(CoverSheet!$C$12),DATE(YEAR(CoverSheet!$C$12)-1,MONTH(CoverSheet!$C$12),DAY(CoverSheet!$C$12)),"[year]")</f>
        <v>42825</v>
      </c>
      <c r="H61" s="143"/>
      <c r="I61" s="172"/>
      <c r="J61" s="172"/>
      <c r="K61" s="172"/>
      <c r="L61" s="172"/>
      <c r="M61" s="172"/>
      <c r="N61" s="172"/>
      <c r="O61" s="172"/>
      <c r="P61" s="172"/>
      <c r="Q61" s="172"/>
      <c r="R61" s="172"/>
      <c r="S61" s="330" t="s">
        <v>931</v>
      </c>
      <c r="T61" s="330" t="s">
        <v>931</v>
      </c>
      <c r="U61" s="34"/>
      <c r="V61" s="214"/>
    </row>
    <row r="62" spans="1:22" s="10" customFormat="1" ht="15" customHeight="1" thickBot="1" x14ac:dyDescent="0.25">
      <c r="A62" s="116">
        <v>62</v>
      </c>
      <c r="B62" s="209"/>
      <c r="C62" s="224"/>
      <c r="D62" s="120"/>
      <c r="E62" s="120" t="s">
        <v>172</v>
      </c>
      <c r="F62" s="120"/>
      <c r="G62" s="224"/>
      <c r="H62" s="224"/>
      <c r="I62" s="172"/>
      <c r="J62" s="172"/>
      <c r="K62" s="172"/>
      <c r="L62" s="172"/>
      <c r="M62" s="172"/>
      <c r="N62" s="172"/>
      <c r="O62" s="172"/>
      <c r="P62" s="172"/>
      <c r="Q62" s="172"/>
      <c r="R62" s="172"/>
      <c r="S62" s="451"/>
      <c r="T62" s="427">
        <f>SUM(T57:T61)</f>
        <v>0</v>
      </c>
      <c r="U62" s="34"/>
      <c r="V62" s="214"/>
    </row>
    <row r="63" spans="1:22" s="10" customFormat="1" ht="15" customHeight="1" thickBot="1" x14ac:dyDescent="0.25">
      <c r="A63" s="116">
        <v>63</v>
      </c>
      <c r="B63" s="209"/>
      <c r="C63" s="224"/>
      <c r="D63" s="224"/>
      <c r="E63" s="224"/>
      <c r="F63" s="224"/>
      <c r="G63" s="224"/>
      <c r="H63" s="224"/>
      <c r="I63" s="172"/>
      <c r="J63" s="172"/>
      <c r="K63" s="172"/>
      <c r="L63" s="172"/>
      <c r="M63" s="172"/>
      <c r="N63" s="172"/>
      <c r="O63" s="172"/>
      <c r="P63" s="172"/>
      <c r="Q63" s="172"/>
      <c r="R63" s="172"/>
      <c r="S63" s="451"/>
      <c r="T63" s="451"/>
      <c r="U63" s="34"/>
      <c r="V63" s="214"/>
    </row>
    <row r="64" spans="1:22" s="10" customFormat="1" ht="15" customHeight="1" thickBot="1" x14ac:dyDescent="0.25">
      <c r="A64" s="116">
        <v>64</v>
      </c>
      <c r="B64" s="209"/>
      <c r="C64" s="224"/>
      <c r="D64" s="120"/>
      <c r="E64" s="120" t="s">
        <v>163</v>
      </c>
      <c r="F64" s="120"/>
      <c r="G64" s="224"/>
      <c r="H64" s="224"/>
      <c r="I64" s="172"/>
      <c r="J64" s="172"/>
      <c r="K64" s="172"/>
      <c r="L64" s="172"/>
      <c r="M64" s="172"/>
      <c r="N64" s="172"/>
      <c r="O64" s="172"/>
      <c r="P64" s="172"/>
      <c r="Q64" s="172"/>
      <c r="R64" s="172"/>
      <c r="S64" s="451"/>
      <c r="T64" s="454">
        <f>IF(T62&gt;0,T62,0)</f>
        <v>0</v>
      </c>
      <c r="U64" s="34"/>
      <c r="V64" s="214"/>
    </row>
    <row r="65" spans="1:22" s="29" customFormat="1" ht="24.95" customHeight="1" x14ac:dyDescent="0.3">
      <c r="A65" s="116">
        <v>65</v>
      </c>
      <c r="B65" s="451"/>
      <c r="C65" s="164" t="s">
        <v>528</v>
      </c>
      <c r="D65" s="172"/>
      <c r="E65" s="172"/>
      <c r="F65" s="172"/>
      <c r="G65" s="172"/>
      <c r="H65" s="172"/>
      <c r="I65" s="172"/>
      <c r="J65" s="172"/>
      <c r="K65" s="172"/>
      <c r="L65" s="172"/>
      <c r="M65" s="172"/>
      <c r="N65" s="172"/>
      <c r="O65" s="172"/>
      <c r="P65" s="172"/>
      <c r="Q65" s="172"/>
      <c r="R65" s="172"/>
      <c r="S65" s="172"/>
      <c r="T65" s="172"/>
      <c r="U65" s="34"/>
      <c r="V65" s="215"/>
    </row>
    <row r="66" spans="1:22" s="270" customFormat="1" ht="15" customHeight="1" x14ac:dyDescent="0.2">
      <c r="A66" s="116">
        <v>70</v>
      </c>
      <c r="B66" s="209"/>
      <c r="C66" s="224"/>
      <c r="D66" s="224"/>
      <c r="E66" s="224"/>
      <c r="F66" s="224"/>
      <c r="G66" s="224"/>
      <c r="H66" s="224"/>
      <c r="I66" s="172"/>
      <c r="J66" s="172"/>
      <c r="K66" s="172"/>
      <c r="L66" s="172"/>
      <c r="M66" s="172"/>
      <c r="N66" s="172"/>
      <c r="O66" s="172"/>
      <c r="P66" s="172"/>
      <c r="Q66" s="172"/>
      <c r="R66" s="172"/>
      <c r="S66" s="563"/>
      <c r="T66" s="176" t="s">
        <v>127</v>
      </c>
      <c r="U66" s="34"/>
      <c r="V66" s="214"/>
    </row>
    <row r="67" spans="1:22" s="10" customFormat="1" ht="15" customHeight="1" x14ac:dyDescent="0.2">
      <c r="A67" s="116">
        <v>66</v>
      </c>
      <c r="B67" s="451"/>
      <c r="C67" s="447"/>
      <c r="D67" s="447"/>
      <c r="E67" s="447"/>
      <c r="F67" s="311" t="s">
        <v>695</v>
      </c>
      <c r="G67" s="311"/>
      <c r="H67" s="308"/>
      <c r="I67" s="172"/>
      <c r="J67" s="172"/>
      <c r="K67" s="172"/>
      <c r="L67" s="172"/>
      <c r="M67" s="172"/>
      <c r="N67" s="172"/>
      <c r="O67" s="172"/>
      <c r="P67" s="172"/>
      <c r="Q67" s="172"/>
      <c r="R67" s="172"/>
      <c r="S67" s="172"/>
      <c r="T67" s="330" t="s">
        <v>931</v>
      </c>
      <c r="U67" s="34"/>
      <c r="V67" s="214"/>
    </row>
    <row r="68" spans="1:22" s="10" customFormat="1" ht="14.25" customHeight="1" x14ac:dyDescent="0.2">
      <c r="A68" s="116">
        <v>67</v>
      </c>
      <c r="B68" s="451"/>
      <c r="C68" s="447"/>
      <c r="D68" s="447"/>
      <c r="E68" s="447"/>
      <c r="F68" s="447"/>
      <c r="G68" s="447"/>
      <c r="H68" s="172"/>
      <c r="I68" s="172"/>
      <c r="J68" s="172"/>
      <c r="K68" s="172"/>
      <c r="L68" s="172"/>
      <c r="M68" s="172"/>
      <c r="N68" s="172"/>
      <c r="O68" s="172"/>
      <c r="P68" s="172"/>
      <c r="Q68" s="172"/>
      <c r="R68" s="172"/>
      <c r="S68" s="172"/>
      <c r="T68" s="172"/>
      <c r="U68" s="34"/>
      <c r="V68" s="214"/>
    </row>
    <row r="69" spans="1:22" s="30" customFormat="1" ht="30" customHeight="1" x14ac:dyDescent="0.2">
      <c r="A69" s="116">
        <v>68</v>
      </c>
      <c r="B69" s="451"/>
      <c r="C69" s="447"/>
      <c r="D69" s="211"/>
      <c r="E69" s="211"/>
      <c r="F69" s="622" t="s">
        <v>375</v>
      </c>
      <c r="G69" s="622"/>
      <c r="H69" s="622"/>
      <c r="I69" s="622"/>
      <c r="J69" s="622"/>
      <c r="K69" s="622"/>
      <c r="L69" s="622"/>
      <c r="M69" s="622"/>
      <c r="N69" s="622"/>
      <c r="O69" s="622"/>
      <c r="P69" s="622"/>
      <c r="Q69" s="622"/>
      <c r="R69" s="622"/>
      <c r="S69" s="622"/>
      <c r="T69" s="623"/>
      <c r="U69" s="34"/>
      <c r="V69" s="214"/>
    </row>
    <row r="70" spans="1:22" s="29" customFormat="1" ht="24.95" customHeight="1" x14ac:dyDescent="0.3">
      <c r="A70" s="116">
        <v>69</v>
      </c>
      <c r="B70" s="451"/>
      <c r="C70" s="164" t="s">
        <v>529</v>
      </c>
      <c r="D70" s="172"/>
      <c r="E70" s="172"/>
      <c r="F70" s="172"/>
      <c r="G70" s="172"/>
      <c r="H70" s="172"/>
      <c r="I70" s="172"/>
      <c r="J70" s="172"/>
      <c r="K70" s="172"/>
      <c r="L70" s="172"/>
      <c r="M70" s="172"/>
      <c r="N70" s="172"/>
      <c r="O70" s="172"/>
      <c r="P70" s="172"/>
      <c r="Q70" s="172"/>
      <c r="R70" s="172"/>
      <c r="S70" s="172"/>
      <c r="T70" s="178"/>
      <c r="U70" s="34"/>
      <c r="V70" s="215"/>
    </row>
    <row r="71" spans="1:22" s="270" customFormat="1" ht="15" customHeight="1" x14ac:dyDescent="0.2">
      <c r="A71" s="116">
        <v>70</v>
      </c>
      <c r="B71" s="209"/>
      <c r="C71" s="224"/>
      <c r="D71" s="224"/>
      <c r="E71" s="224"/>
      <c r="F71" s="224"/>
      <c r="G71" s="224"/>
      <c r="H71" s="224"/>
      <c r="I71" s="172"/>
      <c r="J71" s="172"/>
      <c r="K71" s="172"/>
      <c r="L71" s="172"/>
      <c r="M71" s="172"/>
      <c r="N71" s="172"/>
      <c r="O71" s="172"/>
      <c r="P71" s="172"/>
      <c r="Q71" s="172"/>
      <c r="R71" s="172"/>
      <c r="S71" s="563"/>
      <c r="T71" s="176" t="s">
        <v>127</v>
      </c>
      <c r="U71" s="34"/>
      <c r="V71" s="214"/>
    </row>
    <row r="72" spans="1:22" s="10" customFormat="1" ht="15" customHeight="1" x14ac:dyDescent="0.2">
      <c r="A72" s="116">
        <v>71</v>
      </c>
      <c r="B72" s="451"/>
      <c r="C72" s="447"/>
      <c r="D72" s="447"/>
      <c r="E72" s="447"/>
      <c r="F72" s="447" t="s">
        <v>173</v>
      </c>
      <c r="G72" s="447"/>
      <c r="H72" s="179"/>
      <c r="I72" s="172"/>
      <c r="J72" s="172"/>
      <c r="K72" s="172"/>
      <c r="L72" s="172"/>
      <c r="M72" s="172"/>
      <c r="N72" s="172"/>
      <c r="O72" s="172"/>
      <c r="P72" s="172"/>
      <c r="Q72" s="172"/>
      <c r="R72" s="172"/>
      <c r="S72" s="563"/>
      <c r="T72" s="330" t="s">
        <v>931</v>
      </c>
      <c r="U72" s="34"/>
      <c r="V72" s="214"/>
    </row>
    <row r="73" spans="1:22" s="6" customFormat="1" ht="15" customHeight="1" x14ac:dyDescent="0.2">
      <c r="A73" s="39"/>
      <c r="B73" s="40"/>
      <c r="C73" s="72"/>
      <c r="D73" s="40"/>
      <c r="E73" s="40"/>
      <c r="F73" s="41"/>
      <c r="G73" s="41"/>
      <c r="H73" s="41"/>
      <c r="I73" s="41"/>
      <c r="J73" s="41"/>
      <c r="K73" s="41"/>
      <c r="L73" s="41"/>
      <c r="M73" s="41"/>
      <c r="N73" s="41"/>
      <c r="O73" s="41"/>
      <c r="P73" s="41"/>
      <c r="Q73" s="41"/>
      <c r="R73" s="41"/>
      <c r="S73" s="40"/>
      <c r="T73" s="41"/>
      <c r="U73" s="47"/>
      <c r="V73" s="214"/>
    </row>
  </sheetData>
  <sheetProtection formatRows="0" insertRows="0"/>
  <customSheetViews>
    <customSheetView guid="{21F2E024-704F-4E93-AC63-213755ECFFE0}" scale="55" showPageBreaks="1" showGridLines="0" printArea="1" view="pageBreakPreview">
      <pane ySplit="6" topLeftCell="A7" activePane="bottomLeft" state="frozen"/>
      <selection pane="bottomLeft" activeCell="L1" sqref="L1:L65536"/>
      <pageMargins left="0.70866141732283472" right="0.70866141732283472" top="0.74803149606299213" bottom="0.74803149606299213" header="0.31496062992125989" footer="0.31496062992125989"/>
      <pageSetup paperSize="9" scale="59"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4">
    <mergeCell ref="A5:T5"/>
    <mergeCell ref="R2:T2"/>
    <mergeCell ref="R3:T3"/>
    <mergeCell ref="F69:T69"/>
  </mergeCells>
  <pageMargins left="0.70866141732283472" right="0.70866141732283472" top="0.74803149606299213" bottom="0.74803149606299213" header="0.31496062992125989" footer="0.31496062992125989"/>
  <pageSetup paperSize="9" scale="64" fitToHeight="2" orientation="portrait" r:id="rId2"/>
  <headerFooter alignWithMargins="0">
    <oddHeader>&amp;CCommerce Commission Information Disclosure Template</oddHeader>
    <oddFooter>&amp;L&amp;F&amp;C&amp;P&amp;R&amp;A</oddFooter>
  </headerFooter>
  <rowBreaks count="1" manualBreakCount="1">
    <brk id="47"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sheetPr>
  <dimension ref="A1:U112"/>
  <sheetViews>
    <sheetView showGridLines="0" topLeftCell="E1" zoomScaleNormal="100" zoomScaleSheetLayoutView="100" workbookViewId="0">
      <selection activeCell="S68" sqref="S68"/>
    </sheetView>
  </sheetViews>
  <sheetFormatPr defaultColWidth="9.140625" defaultRowHeight="12.75" x14ac:dyDescent="0.2"/>
  <cols>
    <col min="1" max="1" width="5.140625" style="20" customWidth="1"/>
    <col min="2" max="2" width="3.140625" style="20" customWidth="1"/>
    <col min="3" max="3" width="6.140625" style="20" customWidth="1"/>
    <col min="4" max="4" width="2.28515625" style="19" customWidth="1"/>
    <col min="5" max="5" width="1.7109375" style="29" customWidth="1"/>
    <col min="6" max="6" width="33.42578125" style="29" customWidth="1"/>
    <col min="7" max="11" width="14.140625" style="29" customWidth="1"/>
    <col min="12" max="15" width="14.140625" style="20" customWidth="1"/>
    <col min="16" max="16" width="16.140625" style="20" customWidth="1"/>
    <col min="17" max="17" width="2.7109375" style="20" customWidth="1"/>
    <col min="18" max="18" width="20.7109375" style="217" customWidth="1"/>
    <col min="19" max="19" width="33.140625" style="20" customWidth="1"/>
    <col min="20" max="20" width="23.28515625" style="20" customWidth="1"/>
    <col min="21" max="16384" width="9.140625" style="20"/>
  </cols>
  <sheetData>
    <row r="1" spans="1:20" s="10" customFormat="1" ht="15" customHeight="1" x14ac:dyDescent="0.2">
      <c r="A1" s="554"/>
      <c r="B1" s="546"/>
      <c r="C1" s="546"/>
      <c r="D1" s="546"/>
      <c r="E1" s="546"/>
      <c r="F1" s="546"/>
      <c r="G1" s="546"/>
      <c r="H1" s="546"/>
      <c r="I1" s="546"/>
      <c r="J1" s="546"/>
      <c r="K1" s="546"/>
      <c r="L1" s="546"/>
      <c r="M1" s="546"/>
      <c r="N1" s="546"/>
      <c r="O1" s="546"/>
      <c r="P1" s="546"/>
      <c r="Q1" s="547"/>
      <c r="R1" s="217"/>
      <c r="S1"/>
      <c r="T1"/>
    </row>
    <row r="2" spans="1:20" s="10" customFormat="1" ht="18" customHeight="1" x14ac:dyDescent="0.3">
      <c r="A2" s="48"/>
      <c r="B2" s="49"/>
      <c r="C2" s="49"/>
      <c r="D2" s="49"/>
      <c r="E2" s="49"/>
      <c r="F2" s="49"/>
      <c r="G2" s="49"/>
      <c r="H2" s="49"/>
      <c r="I2" s="49"/>
      <c r="J2" s="49"/>
      <c r="K2" s="49"/>
      <c r="L2" s="49"/>
      <c r="M2" s="94" t="s">
        <v>8</v>
      </c>
      <c r="N2" s="611" t="str">
        <f>IF(NOT(ISBLANK(CoverSheet!$C$8)),CoverSheet!$C$8,"")</f>
        <v>Alpine Energy Limited</v>
      </c>
      <c r="O2" s="611"/>
      <c r="P2" s="611"/>
      <c r="Q2" s="52"/>
      <c r="R2" s="217"/>
      <c r="S2"/>
      <c r="T2"/>
    </row>
    <row r="3" spans="1:20" s="10" customFormat="1" ht="18" customHeight="1" x14ac:dyDescent="0.25">
      <c r="A3" s="48"/>
      <c r="B3" s="49"/>
      <c r="C3" s="49"/>
      <c r="D3" s="49"/>
      <c r="E3" s="49"/>
      <c r="F3" s="49"/>
      <c r="G3" s="49"/>
      <c r="H3" s="49"/>
      <c r="I3" s="49"/>
      <c r="J3" s="49"/>
      <c r="K3" s="49"/>
      <c r="L3" s="49"/>
      <c r="M3" s="94" t="s">
        <v>393</v>
      </c>
      <c r="N3" s="612">
        <f>IF(ISNUMBER(CoverSheet!$C$12),CoverSheet!$C$12,"")</f>
        <v>43190</v>
      </c>
      <c r="O3" s="612"/>
      <c r="P3" s="612"/>
      <c r="Q3" s="52"/>
      <c r="R3" s="217"/>
      <c r="S3"/>
      <c r="T3"/>
    </row>
    <row r="4" spans="1:20" s="10" customFormat="1" ht="20.25" customHeight="1" x14ac:dyDescent="0.35">
      <c r="A4" s="545" t="s">
        <v>352</v>
      </c>
      <c r="B4" s="49"/>
      <c r="C4" s="49"/>
      <c r="D4" s="49"/>
      <c r="E4" s="49"/>
      <c r="F4" s="49"/>
      <c r="G4" s="49"/>
      <c r="H4" s="49"/>
      <c r="I4" s="49"/>
      <c r="J4" s="49"/>
      <c r="K4" s="49"/>
      <c r="L4" s="49"/>
      <c r="M4" s="452"/>
      <c r="N4" s="49"/>
      <c r="O4" s="49"/>
      <c r="P4" s="49"/>
      <c r="Q4" s="52"/>
      <c r="R4" s="214"/>
      <c r="S4"/>
      <c r="T4"/>
    </row>
    <row r="5" spans="1:20" s="29" customFormat="1" ht="48" customHeight="1" x14ac:dyDescent="0.2">
      <c r="A5" s="609" t="s">
        <v>544</v>
      </c>
      <c r="B5" s="613"/>
      <c r="C5" s="613"/>
      <c r="D5" s="613"/>
      <c r="E5" s="613"/>
      <c r="F5" s="613"/>
      <c r="G5" s="613"/>
      <c r="H5" s="613"/>
      <c r="I5" s="613"/>
      <c r="J5" s="613"/>
      <c r="K5" s="613"/>
      <c r="L5" s="613"/>
      <c r="M5" s="613"/>
      <c r="N5" s="613"/>
      <c r="O5" s="613"/>
      <c r="P5" s="613"/>
      <c r="Q5" s="628"/>
      <c r="R5" s="214"/>
    </row>
    <row r="6" spans="1:20" s="10" customFormat="1" ht="15" customHeight="1" x14ac:dyDescent="0.2">
      <c r="A6" s="87" t="s">
        <v>623</v>
      </c>
      <c r="B6" s="452"/>
      <c r="C6" s="53"/>
      <c r="D6" s="49"/>
      <c r="E6" s="49"/>
      <c r="F6" s="49"/>
      <c r="G6" s="49"/>
      <c r="H6" s="49"/>
      <c r="I6" s="49"/>
      <c r="J6" s="49"/>
      <c r="K6" s="49"/>
      <c r="L6" s="49"/>
      <c r="M6" s="49"/>
      <c r="N6" s="49"/>
      <c r="O6" s="49"/>
      <c r="P6" s="49"/>
      <c r="Q6" s="52"/>
      <c r="R6" s="214"/>
      <c r="S6"/>
      <c r="T6"/>
    </row>
    <row r="7" spans="1:20" ht="30" customHeight="1" x14ac:dyDescent="0.3">
      <c r="A7" s="208">
        <v>7</v>
      </c>
      <c r="B7" s="451"/>
      <c r="C7" s="142" t="s">
        <v>354</v>
      </c>
      <c r="D7" s="451"/>
      <c r="E7" s="451"/>
      <c r="F7" s="451"/>
      <c r="G7" s="451"/>
      <c r="H7" s="451"/>
      <c r="I7" s="451"/>
      <c r="J7" s="169"/>
      <c r="K7" s="169"/>
      <c r="L7" s="436" t="s">
        <v>157</v>
      </c>
      <c r="M7" s="436" t="s">
        <v>157</v>
      </c>
      <c r="N7" s="436" t="s">
        <v>157</v>
      </c>
      <c r="O7" s="436" t="s">
        <v>157</v>
      </c>
      <c r="P7" s="436" t="s">
        <v>157</v>
      </c>
      <c r="Q7" s="37"/>
      <c r="R7" s="214"/>
      <c r="S7"/>
      <c r="T7"/>
    </row>
    <row r="8" spans="1:20" x14ac:dyDescent="0.2">
      <c r="A8" s="208">
        <v>8</v>
      </c>
      <c r="B8" s="451"/>
      <c r="C8" s="169"/>
      <c r="D8" s="169"/>
      <c r="E8" s="169"/>
      <c r="F8" s="169"/>
      <c r="G8" s="169"/>
      <c r="H8" s="169"/>
      <c r="I8" s="169"/>
      <c r="J8" s="169"/>
      <c r="K8" s="169" t="str">
        <f>IF(ISNUMBER(CoverSheet!$C$12),"for year ended","")</f>
        <v>for year ended</v>
      </c>
      <c r="L8" s="360">
        <f>IF(ISNUMBER(CoverSheet!$C$12),DATE(YEAR(CoverSheet!$C$12)-4,MONTH(CoverSheet!$C$12),DAY(CoverSheet!$C$12)),"CY-4")</f>
        <v>41729</v>
      </c>
      <c r="M8" s="360">
        <f>IF(ISNUMBER(CoverSheet!$C$12),DATE(YEAR(CoverSheet!$C$12)-3,MONTH(CoverSheet!$C$12),DAY(CoverSheet!$C$12)),"CY-3")</f>
        <v>42094</v>
      </c>
      <c r="N8" s="360">
        <f>IF(ISNUMBER(CoverSheet!$C$12),DATE(YEAR(CoverSheet!$C$12)-2,MONTH(CoverSheet!$C$12),DAY(CoverSheet!$C$12)),"CY-2")</f>
        <v>42460</v>
      </c>
      <c r="O8" s="360">
        <f>IF(ISNUMBER(CoverSheet!$C$12),DATE(YEAR(CoverSheet!$C$12)-1,MONTH(CoverSheet!$C$12),DAY(CoverSheet!$C$12)),"CY-1")</f>
        <v>42825</v>
      </c>
      <c r="P8" s="360">
        <f>IF(ISNUMBER(CoverSheet!$C$12),DATE(YEAR(CoverSheet!$C$12),MONTH(CoverSheet!$C$12),DAY(CoverSheet!$C$12)),"CY")</f>
        <v>43190</v>
      </c>
      <c r="Q8" s="37"/>
      <c r="R8" s="214"/>
      <c r="S8"/>
      <c r="T8"/>
    </row>
    <row r="9" spans="1:20" ht="15" customHeight="1" x14ac:dyDescent="0.2">
      <c r="A9" s="208">
        <v>9</v>
      </c>
      <c r="B9" s="451"/>
      <c r="C9" s="169"/>
      <c r="D9" s="169"/>
      <c r="E9" s="169"/>
      <c r="F9" s="224"/>
      <c r="G9" s="169"/>
      <c r="H9" s="169"/>
      <c r="I9" s="169"/>
      <c r="J9" s="169"/>
      <c r="K9" s="169"/>
      <c r="L9" s="180" t="s">
        <v>127</v>
      </c>
      <c r="M9" s="180" t="s">
        <v>127</v>
      </c>
      <c r="N9" s="180" t="s">
        <v>127</v>
      </c>
      <c r="O9" s="180" t="s">
        <v>127</v>
      </c>
      <c r="P9" s="180" t="s">
        <v>127</v>
      </c>
      <c r="Q9" s="37"/>
      <c r="R9" s="215"/>
      <c r="S9"/>
      <c r="T9"/>
    </row>
    <row r="10" spans="1:20" ht="15" customHeight="1" x14ac:dyDescent="0.2">
      <c r="A10" s="208">
        <v>10</v>
      </c>
      <c r="B10" s="451"/>
      <c r="C10" s="169"/>
      <c r="D10" s="169"/>
      <c r="E10" s="168" t="s">
        <v>128</v>
      </c>
      <c r="F10" s="168"/>
      <c r="G10" s="169"/>
      <c r="H10" s="169"/>
      <c r="I10" s="169"/>
      <c r="J10" s="169"/>
      <c r="K10" s="169"/>
      <c r="L10" s="3">
        <v>153233</v>
      </c>
      <c r="M10" s="455">
        <f>L24</f>
        <v>156777.60000000001</v>
      </c>
      <c r="N10" s="455">
        <f>M24</f>
        <v>166320.6</v>
      </c>
      <c r="O10" s="455">
        <f>N24</f>
        <v>166971.6</v>
      </c>
      <c r="P10" s="455">
        <f>O24</f>
        <v>178989.6</v>
      </c>
      <c r="Q10" s="37"/>
      <c r="R10" s="214" t="s">
        <v>605</v>
      </c>
      <c r="S10" s="214"/>
      <c r="T10"/>
    </row>
    <row r="11" spans="1:20" ht="15" customHeight="1" x14ac:dyDescent="0.2">
      <c r="A11" s="208">
        <v>11</v>
      </c>
      <c r="B11" s="451"/>
      <c r="C11" s="169"/>
      <c r="D11" s="169"/>
      <c r="E11" s="168"/>
      <c r="F11" s="168"/>
      <c r="G11" s="169"/>
      <c r="H11" s="169"/>
      <c r="I11" s="169"/>
      <c r="J11" s="169"/>
      <c r="K11" s="169"/>
      <c r="L11" s="451"/>
      <c r="M11" s="451"/>
      <c r="N11" s="451"/>
      <c r="O11" s="451"/>
      <c r="P11" s="451"/>
      <c r="Q11" s="37"/>
      <c r="R11" s="214"/>
      <c r="S11" s="261"/>
      <c r="T11"/>
    </row>
    <row r="12" spans="1:20" ht="15" customHeight="1" x14ac:dyDescent="0.2">
      <c r="A12" s="208">
        <v>12</v>
      </c>
      <c r="B12" s="451"/>
      <c r="C12" s="170"/>
      <c r="D12" s="171" t="s">
        <v>5</v>
      </c>
      <c r="E12" s="168" t="s">
        <v>161</v>
      </c>
      <c r="F12" s="168"/>
      <c r="G12" s="169"/>
      <c r="H12" s="169"/>
      <c r="I12" s="169"/>
      <c r="J12" s="169"/>
      <c r="K12" s="169"/>
      <c r="L12" s="3">
        <v>9785</v>
      </c>
      <c r="M12" s="3">
        <v>9885</v>
      </c>
      <c r="N12" s="3">
        <v>9916</v>
      </c>
      <c r="O12" s="3">
        <v>10242</v>
      </c>
      <c r="P12" s="455">
        <f>P31</f>
        <v>12243.756617927396</v>
      </c>
      <c r="Q12" s="37"/>
      <c r="R12" s="214" t="s">
        <v>584</v>
      </c>
      <c r="S12" s="214"/>
      <c r="T12"/>
    </row>
    <row r="13" spans="1:20" ht="15" customHeight="1" x14ac:dyDescent="0.2">
      <c r="A13" s="208">
        <v>13</v>
      </c>
      <c r="B13" s="451"/>
      <c r="C13" s="169"/>
      <c r="D13" s="171"/>
      <c r="E13" s="168"/>
      <c r="F13" s="168"/>
      <c r="G13" s="169"/>
      <c r="H13" s="169"/>
      <c r="I13" s="169"/>
      <c r="J13" s="169"/>
      <c r="K13" s="169"/>
      <c r="L13" s="451"/>
      <c r="M13" s="451"/>
      <c r="N13" s="451"/>
      <c r="O13" s="451"/>
      <c r="P13" s="451"/>
      <c r="Q13" s="37"/>
      <c r="R13" s="214"/>
      <c r="S13" s="261"/>
      <c r="T13"/>
    </row>
    <row r="14" spans="1:20" ht="15" customHeight="1" x14ac:dyDescent="0.2">
      <c r="A14" s="208">
        <v>14</v>
      </c>
      <c r="B14" s="451"/>
      <c r="C14" s="170"/>
      <c r="D14" s="171" t="s">
        <v>6</v>
      </c>
      <c r="E14" s="168" t="s">
        <v>387</v>
      </c>
      <c r="F14" s="168"/>
      <c r="G14" s="169"/>
      <c r="H14" s="169"/>
      <c r="I14" s="169"/>
      <c r="J14" s="169"/>
      <c r="K14" s="169"/>
      <c r="L14" s="3">
        <v>2347</v>
      </c>
      <c r="M14" s="3">
        <v>131</v>
      </c>
      <c r="N14" s="3">
        <v>963</v>
      </c>
      <c r="O14" s="3">
        <v>3611</v>
      </c>
      <c r="P14" s="455">
        <f>P33</f>
        <v>1968.8855999999819</v>
      </c>
      <c r="Q14" s="37"/>
      <c r="R14" s="214" t="s">
        <v>585</v>
      </c>
      <c r="S14" s="214"/>
      <c r="T14"/>
    </row>
    <row r="15" spans="1:20" ht="15" customHeight="1" x14ac:dyDescent="0.2">
      <c r="A15" s="208">
        <v>15</v>
      </c>
      <c r="B15" s="451"/>
      <c r="C15" s="169"/>
      <c r="D15" s="171"/>
      <c r="E15" s="168"/>
      <c r="F15" s="168"/>
      <c r="G15" s="169"/>
      <c r="H15" s="169"/>
      <c r="I15" s="169"/>
      <c r="J15" s="169"/>
      <c r="K15" s="169"/>
      <c r="L15" s="451"/>
      <c r="M15" s="451"/>
      <c r="N15" s="451"/>
      <c r="O15" s="451"/>
      <c r="P15" s="451"/>
      <c r="Q15" s="37"/>
      <c r="R15" s="214"/>
      <c r="S15" s="261"/>
      <c r="T15"/>
    </row>
    <row r="16" spans="1:20" ht="15" customHeight="1" x14ac:dyDescent="0.2">
      <c r="A16" s="208">
        <v>16</v>
      </c>
      <c r="B16" s="451"/>
      <c r="C16" s="170"/>
      <c r="D16" s="171" t="s">
        <v>6</v>
      </c>
      <c r="E16" s="168" t="s">
        <v>212</v>
      </c>
      <c r="F16" s="168"/>
      <c r="G16" s="169"/>
      <c r="H16" s="169"/>
      <c r="I16" s="169"/>
      <c r="J16" s="169"/>
      <c r="K16" s="169"/>
      <c r="L16" s="3">
        <v>11152</v>
      </c>
      <c r="M16" s="3">
        <v>18705</v>
      </c>
      <c r="N16" s="3">
        <v>11857</v>
      </c>
      <c r="O16" s="3">
        <v>18955</v>
      </c>
      <c r="P16" s="455">
        <f>P38</f>
        <v>30905.744295935769</v>
      </c>
      <c r="Q16" s="37"/>
      <c r="R16" s="214" t="s">
        <v>606</v>
      </c>
      <c r="S16" s="214"/>
      <c r="T16"/>
    </row>
    <row r="17" spans="1:20" s="13" customFormat="1" ht="15" customHeight="1" x14ac:dyDescent="0.2">
      <c r="A17" s="208">
        <v>17</v>
      </c>
      <c r="B17" s="451"/>
      <c r="C17" s="169"/>
      <c r="D17" s="171"/>
      <c r="E17" s="168"/>
      <c r="F17" s="168"/>
      <c r="G17" s="169"/>
      <c r="H17" s="169"/>
      <c r="I17" s="169"/>
      <c r="J17" s="169"/>
      <c r="K17" s="169"/>
      <c r="L17" s="451"/>
      <c r="M17" s="451"/>
      <c r="N17" s="451"/>
      <c r="O17" s="451"/>
      <c r="P17" s="451"/>
      <c r="Q17" s="37"/>
      <c r="R17" s="214"/>
      <c r="S17" s="261"/>
      <c r="T17"/>
    </row>
    <row r="18" spans="1:20" s="6" customFormat="1" ht="15" customHeight="1" x14ac:dyDescent="0.2">
      <c r="A18" s="208">
        <v>18</v>
      </c>
      <c r="B18" s="451"/>
      <c r="C18" s="170"/>
      <c r="D18" s="171" t="s">
        <v>5</v>
      </c>
      <c r="E18" s="168" t="s">
        <v>134</v>
      </c>
      <c r="F18" s="168"/>
      <c r="G18" s="169"/>
      <c r="H18" s="169"/>
      <c r="I18" s="169"/>
      <c r="J18" s="169"/>
      <c r="K18" s="169"/>
      <c r="L18" s="3">
        <v>168</v>
      </c>
      <c r="M18" s="3">
        <v>225</v>
      </c>
      <c r="N18" s="3">
        <v>87</v>
      </c>
      <c r="O18" s="3">
        <v>306</v>
      </c>
      <c r="P18" s="455">
        <f>P43</f>
        <v>0</v>
      </c>
      <c r="Q18" s="37"/>
      <c r="R18" s="214" t="s">
        <v>842</v>
      </c>
      <c r="S18" s="214"/>
      <c r="T18"/>
    </row>
    <row r="19" spans="1:20" s="6" customFormat="1" ht="15" customHeight="1" x14ac:dyDescent="0.2">
      <c r="A19" s="208">
        <v>19</v>
      </c>
      <c r="B19" s="451"/>
      <c r="C19" s="169"/>
      <c r="D19" s="171"/>
      <c r="E19" s="168"/>
      <c r="F19" s="168"/>
      <c r="G19" s="169"/>
      <c r="H19" s="169"/>
      <c r="I19" s="169"/>
      <c r="J19" s="169"/>
      <c r="K19" s="169"/>
      <c r="L19" s="451"/>
      <c r="M19" s="451"/>
      <c r="N19" s="451"/>
      <c r="O19" s="451"/>
      <c r="P19" s="451"/>
      <c r="Q19" s="37"/>
      <c r="R19" s="214"/>
      <c r="S19" s="261"/>
      <c r="T19"/>
    </row>
    <row r="20" spans="1:20" s="6" customFormat="1" ht="15" customHeight="1" x14ac:dyDescent="0.2">
      <c r="A20" s="208">
        <v>20</v>
      </c>
      <c r="B20" s="451"/>
      <c r="C20" s="170"/>
      <c r="D20" s="171" t="s">
        <v>6</v>
      </c>
      <c r="E20" s="168" t="s">
        <v>137</v>
      </c>
      <c r="F20" s="168"/>
      <c r="G20" s="169"/>
      <c r="H20" s="169"/>
      <c r="I20" s="169"/>
      <c r="J20" s="169"/>
      <c r="K20" s="169"/>
      <c r="L20" s="3">
        <v>0</v>
      </c>
      <c r="M20" s="3">
        <v>817</v>
      </c>
      <c r="N20" s="3">
        <v>-2166</v>
      </c>
      <c r="O20" s="3">
        <v>0</v>
      </c>
      <c r="P20" s="455">
        <f>P45</f>
        <v>0</v>
      </c>
      <c r="Q20" s="37"/>
      <c r="R20" s="214" t="s">
        <v>843</v>
      </c>
      <c r="S20" s="214"/>
      <c r="T20"/>
    </row>
    <row r="21" spans="1:20" s="6" customFormat="1" ht="15" customHeight="1" x14ac:dyDescent="0.2">
      <c r="A21" s="208">
        <v>21</v>
      </c>
      <c r="B21" s="451"/>
      <c r="C21" s="169"/>
      <c r="D21" s="171"/>
      <c r="E21" s="168"/>
      <c r="F21" s="168"/>
      <c r="G21" s="169"/>
      <c r="H21" s="169"/>
      <c r="I21" s="169"/>
      <c r="J21" s="169"/>
      <c r="K21" s="169"/>
      <c r="L21" s="451"/>
      <c r="M21" s="451"/>
      <c r="N21" s="451"/>
      <c r="O21" s="451"/>
      <c r="P21" s="451"/>
      <c r="Q21" s="37"/>
      <c r="R21" s="214"/>
      <c r="S21" s="261"/>
      <c r="T21"/>
    </row>
    <row r="22" spans="1:20" s="6" customFormat="1" ht="15" customHeight="1" x14ac:dyDescent="0.2">
      <c r="A22" s="208">
        <v>22</v>
      </c>
      <c r="B22" s="451"/>
      <c r="C22" s="170"/>
      <c r="D22" s="171" t="s">
        <v>6</v>
      </c>
      <c r="E22" s="168" t="s">
        <v>136</v>
      </c>
      <c r="F22" s="168"/>
      <c r="G22" s="169"/>
      <c r="H22" s="169"/>
      <c r="I22" s="169"/>
      <c r="J22" s="169"/>
      <c r="K22" s="169"/>
      <c r="L22" s="3">
        <v>-1.4</v>
      </c>
      <c r="M22" s="3">
        <v>0</v>
      </c>
      <c r="N22" s="3">
        <v>0</v>
      </c>
      <c r="O22" s="3">
        <v>0</v>
      </c>
      <c r="P22" s="455">
        <f>P47</f>
        <v>0.2299018488265574</v>
      </c>
      <c r="Q22" s="37"/>
      <c r="R22" s="214" t="s">
        <v>607</v>
      </c>
      <c r="S22" s="214"/>
      <c r="T22"/>
    </row>
    <row r="23" spans="1:20" s="6" customFormat="1" ht="15" customHeight="1" thickBot="1" x14ac:dyDescent="0.25">
      <c r="A23" s="208">
        <v>23</v>
      </c>
      <c r="B23" s="451"/>
      <c r="C23" s="169"/>
      <c r="D23" s="169"/>
      <c r="E23" s="168"/>
      <c r="F23" s="168"/>
      <c r="G23" s="169"/>
      <c r="H23" s="169"/>
      <c r="I23" s="169"/>
      <c r="J23" s="169"/>
      <c r="K23" s="169"/>
      <c r="L23" s="451"/>
      <c r="M23" s="451"/>
      <c r="N23" s="451"/>
      <c r="O23" s="451"/>
      <c r="P23" s="451"/>
      <c r="Q23" s="37"/>
      <c r="R23" s="214"/>
      <c r="S23" s="261"/>
      <c r="T23"/>
    </row>
    <row r="24" spans="1:20" s="6" customFormat="1" ht="15" customHeight="1" thickBot="1" x14ac:dyDescent="0.25">
      <c r="A24" s="208">
        <v>24</v>
      </c>
      <c r="B24" s="451"/>
      <c r="C24" s="179"/>
      <c r="D24" s="179"/>
      <c r="E24" s="168" t="s">
        <v>213</v>
      </c>
      <c r="F24" s="168"/>
      <c r="G24" s="169"/>
      <c r="H24" s="169"/>
      <c r="I24" s="169"/>
      <c r="J24" s="169"/>
      <c r="K24" s="169"/>
      <c r="L24" s="456">
        <f>L10-L12+L14+L16-L18+L20+L22</f>
        <v>156777.60000000001</v>
      </c>
      <c r="M24" s="456">
        <f>M10-M12+M14+M16-M18+M20+M22</f>
        <v>166320.6</v>
      </c>
      <c r="N24" s="456">
        <f>N10-N12+N14+N16-N18+N20+N22</f>
        <v>166971.6</v>
      </c>
      <c r="O24" s="456">
        <f>O10-O12+O14+O16-O18+O20+O22</f>
        <v>178989.6</v>
      </c>
      <c r="P24" s="456">
        <f>P49</f>
        <v>199620.70317985717</v>
      </c>
      <c r="Q24" s="37"/>
      <c r="R24" s="214" t="s">
        <v>608</v>
      </c>
      <c r="S24" s="214"/>
      <c r="T24"/>
    </row>
    <row r="25" spans="1:20" s="6" customFormat="1" x14ac:dyDescent="0.2">
      <c r="A25" s="208">
        <v>25</v>
      </c>
      <c r="B25" s="451"/>
      <c r="C25" s="179"/>
      <c r="D25" s="169"/>
      <c r="E25" s="169"/>
      <c r="F25" s="224"/>
      <c r="G25" s="169"/>
      <c r="H25" s="169"/>
      <c r="I25" s="169"/>
      <c r="J25" s="169"/>
      <c r="K25" s="169"/>
      <c r="L25" s="172"/>
      <c r="M25" s="172"/>
      <c r="N25" s="172"/>
      <c r="O25" s="172"/>
      <c r="P25" s="172"/>
      <c r="Q25" s="37"/>
      <c r="R25" s="214"/>
      <c r="S25"/>
      <c r="T25"/>
    </row>
    <row r="26" spans="1:20" s="29" customFormat="1" ht="30" customHeight="1" x14ac:dyDescent="0.3">
      <c r="A26" s="208">
        <v>26</v>
      </c>
      <c r="B26" s="451"/>
      <c r="C26" s="142" t="s">
        <v>353</v>
      </c>
      <c r="D26" s="169"/>
      <c r="E26" s="169"/>
      <c r="F26" s="169"/>
      <c r="G26" s="169"/>
      <c r="H26" s="169"/>
      <c r="I26" s="169"/>
      <c r="J26" s="169"/>
      <c r="K26" s="169"/>
      <c r="L26" s="172"/>
      <c r="M26" s="172"/>
      <c r="N26" s="172"/>
      <c r="O26" s="172"/>
      <c r="P26" s="172"/>
      <c r="Q26" s="37"/>
      <c r="R26" s="214"/>
    </row>
    <row r="27" spans="1:20" x14ac:dyDescent="0.2">
      <c r="A27" s="208">
        <v>27</v>
      </c>
      <c r="B27" s="441"/>
      <c r="C27" s="172"/>
      <c r="D27" s="169"/>
      <c r="E27" s="169"/>
      <c r="F27" s="224"/>
      <c r="G27" s="169"/>
      <c r="H27" s="169"/>
      <c r="I27" s="169"/>
      <c r="J27" s="169"/>
      <c r="K27" s="169"/>
      <c r="L27" s="169"/>
      <c r="M27" s="630" t="s">
        <v>214</v>
      </c>
      <c r="N27" s="630"/>
      <c r="O27" s="630" t="s">
        <v>157</v>
      </c>
      <c r="P27" s="630"/>
      <c r="Q27" s="37"/>
      <c r="R27" s="214"/>
      <c r="S27"/>
      <c r="T27"/>
    </row>
    <row r="28" spans="1:20" x14ac:dyDescent="0.2">
      <c r="A28" s="208">
        <v>28</v>
      </c>
      <c r="B28" s="451"/>
      <c r="C28" s="169"/>
      <c r="D28" s="169"/>
      <c r="E28" s="169"/>
      <c r="F28" s="224"/>
      <c r="G28" s="169"/>
      <c r="H28" s="169"/>
      <c r="I28" s="169"/>
      <c r="J28" s="169"/>
      <c r="K28" s="169"/>
      <c r="L28" s="169"/>
      <c r="M28" s="180" t="s">
        <v>127</v>
      </c>
      <c r="N28" s="180" t="s">
        <v>127</v>
      </c>
      <c r="O28" s="180" t="s">
        <v>127</v>
      </c>
      <c r="P28" s="180" t="s">
        <v>127</v>
      </c>
      <c r="Q28" s="37"/>
      <c r="R28" s="215"/>
      <c r="S28"/>
      <c r="T28"/>
    </row>
    <row r="29" spans="1:20" ht="15" customHeight="1" x14ac:dyDescent="0.2">
      <c r="A29" s="208">
        <v>29</v>
      </c>
      <c r="B29" s="451"/>
      <c r="C29" s="169"/>
      <c r="D29" s="169"/>
      <c r="E29" s="168" t="s">
        <v>128</v>
      </c>
      <c r="F29" s="168"/>
      <c r="G29" s="169"/>
      <c r="H29" s="169"/>
      <c r="I29" s="169"/>
      <c r="J29" s="169"/>
      <c r="K29" s="169"/>
      <c r="L29" s="169"/>
      <c r="M29" s="451"/>
      <c r="N29" s="3">
        <v>178989.7</v>
      </c>
      <c r="O29" s="451"/>
      <c r="P29" s="455">
        <f>P10</f>
        <v>178989.6</v>
      </c>
      <c r="Q29" s="37"/>
      <c r="R29" s="214" t="s">
        <v>586</v>
      </c>
      <c r="S29" s="214"/>
      <c r="T29"/>
    </row>
    <row r="30" spans="1:20" ht="15" customHeight="1" x14ac:dyDescent="0.2">
      <c r="A30" s="208">
        <v>30</v>
      </c>
      <c r="B30" s="451"/>
      <c r="C30" s="169"/>
      <c r="D30" s="171" t="s">
        <v>5</v>
      </c>
      <c r="E30" s="168"/>
      <c r="F30" s="168"/>
      <c r="G30" s="169"/>
      <c r="H30" s="169"/>
      <c r="I30" s="169"/>
      <c r="J30" s="169"/>
      <c r="K30" s="169"/>
      <c r="L30" s="169"/>
      <c r="M30" s="451"/>
      <c r="N30" s="451"/>
      <c r="O30" s="451"/>
      <c r="P30" s="451"/>
      <c r="Q30" s="37"/>
      <c r="R30" s="214"/>
      <c r="S30"/>
      <c r="T30"/>
    </row>
    <row r="31" spans="1:20" ht="15" customHeight="1" x14ac:dyDescent="0.2">
      <c r="A31" s="208">
        <v>31</v>
      </c>
      <c r="B31" s="451"/>
      <c r="C31" s="169"/>
      <c r="D31" s="171"/>
      <c r="E31" s="168" t="s">
        <v>161</v>
      </c>
      <c r="F31" s="168"/>
      <c r="G31" s="169"/>
      <c r="H31" s="169"/>
      <c r="I31" s="169"/>
      <c r="J31" s="169"/>
      <c r="K31" s="169"/>
      <c r="L31" s="169"/>
      <c r="M31" s="451"/>
      <c r="N31" s="455">
        <f>N83</f>
        <v>12243.756617927396</v>
      </c>
      <c r="O31" s="451"/>
      <c r="P31" s="455">
        <f>P83</f>
        <v>12243.756617927396</v>
      </c>
      <c r="Q31" s="37"/>
      <c r="R31" s="214" t="s">
        <v>591</v>
      </c>
      <c r="S31"/>
      <c r="T31"/>
    </row>
    <row r="32" spans="1:20" ht="15" customHeight="1" x14ac:dyDescent="0.2">
      <c r="A32" s="208">
        <v>32</v>
      </c>
      <c r="B32" s="451"/>
      <c r="C32" s="169"/>
      <c r="D32" s="171" t="s">
        <v>6</v>
      </c>
      <c r="E32" s="168"/>
      <c r="F32" s="168"/>
      <c r="G32" s="169"/>
      <c r="H32" s="169"/>
      <c r="I32" s="169"/>
      <c r="J32" s="169"/>
      <c r="K32" s="169"/>
      <c r="L32" s="169"/>
      <c r="M32" s="451"/>
      <c r="N32" s="451"/>
      <c r="O32" s="451"/>
      <c r="P32" s="451"/>
      <c r="Q32" s="37"/>
      <c r="R32" s="214"/>
      <c r="S32"/>
      <c r="T32"/>
    </row>
    <row r="33" spans="1:21" ht="15" customHeight="1" x14ac:dyDescent="0.2">
      <c r="A33" s="208">
        <v>33</v>
      </c>
      <c r="B33" s="451"/>
      <c r="C33" s="169"/>
      <c r="D33" s="171"/>
      <c r="E33" s="168" t="s">
        <v>387</v>
      </c>
      <c r="F33" s="168"/>
      <c r="G33" s="169"/>
      <c r="H33" s="169"/>
      <c r="I33" s="169"/>
      <c r="J33" s="169"/>
      <c r="K33" s="169"/>
      <c r="L33" s="169"/>
      <c r="M33" s="451"/>
      <c r="N33" s="455">
        <f>N64</f>
        <v>1968.8866999999821</v>
      </c>
      <c r="O33" s="451"/>
      <c r="P33" s="455">
        <f>P64</f>
        <v>1968.8855999999819</v>
      </c>
      <c r="Q33" s="37"/>
      <c r="R33" s="214" t="s">
        <v>592</v>
      </c>
      <c r="S33"/>
      <c r="T33"/>
    </row>
    <row r="34" spans="1:21" ht="15" customHeight="1" x14ac:dyDescent="0.2">
      <c r="A34" s="208">
        <v>34</v>
      </c>
      <c r="B34" s="451"/>
      <c r="C34" s="169"/>
      <c r="D34" s="171" t="s">
        <v>6</v>
      </c>
      <c r="E34" s="168"/>
      <c r="F34" s="169"/>
      <c r="G34" s="169"/>
      <c r="H34" s="169"/>
      <c r="I34" s="169"/>
      <c r="J34" s="169"/>
      <c r="K34" s="169"/>
      <c r="L34" s="169"/>
      <c r="M34" s="451"/>
      <c r="N34" s="451"/>
      <c r="O34" s="451"/>
      <c r="P34" s="451"/>
      <c r="Q34" s="37"/>
      <c r="R34" s="214"/>
      <c r="S34"/>
      <c r="T34" s="115"/>
      <c r="U34" s="115"/>
    </row>
    <row r="35" spans="1:21" s="21" customFormat="1" ht="15" customHeight="1" x14ac:dyDescent="0.2">
      <c r="A35" s="208">
        <v>35</v>
      </c>
      <c r="B35" s="451"/>
      <c r="C35" s="169"/>
      <c r="D35" s="171"/>
      <c r="E35" s="168"/>
      <c r="F35" s="169" t="s">
        <v>215</v>
      </c>
      <c r="G35" s="169"/>
      <c r="H35" s="169"/>
      <c r="I35" s="169"/>
      <c r="J35" s="169"/>
      <c r="K35" s="169"/>
      <c r="L35" s="169"/>
      <c r="M35" s="3">
        <f>P102-M37</f>
        <v>20904.23778779832</v>
      </c>
      <c r="N35" s="451"/>
      <c r="O35" s="3">
        <f>+M35</f>
        <v>20904.23778779832</v>
      </c>
      <c r="P35" s="451"/>
      <c r="Q35" s="37"/>
      <c r="R35" s="214"/>
      <c r="S35"/>
      <c r="T35" s="115"/>
      <c r="U35" s="694"/>
    </row>
    <row r="36" spans="1:21" s="21" customFormat="1" ht="15" customHeight="1" x14ac:dyDescent="0.2">
      <c r="A36" s="208">
        <v>36</v>
      </c>
      <c r="B36" s="451"/>
      <c r="C36" s="169"/>
      <c r="D36" s="171"/>
      <c r="E36" s="168"/>
      <c r="F36" s="169" t="s">
        <v>216</v>
      </c>
      <c r="G36" s="169"/>
      <c r="H36" s="169"/>
      <c r="I36" s="169"/>
      <c r="J36" s="169"/>
      <c r="K36" s="169"/>
      <c r="L36" s="169"/>
      <c r="M36" s="605" t="s">
        <v>931</v>
      </c>
      <c r="N36" s="451"/>
      <c r="O36" s="606" t="str">
        <f t="shared" ref="O36:O37" si="0">+M36</f>
        <v>NA</v>
      </c>
      <c r="P36" s="451"/>
      <c r="Q36" s="37"/>
      <c r="R36" s="214"/>
      <c r="S36"/>
      <c r="T36" s="115"/>
      <c r="U36" s="694"/>
    </row>
    <row r="37" spans="1:21" s="21" customFormat="1" ht="15" customHeight="1" x14ac:dyDescent="0.2">
      <c r="A37" s="208">
        <v>37</v>
      </c>
      <c r="B37" s="451"/>
      <c r="C37" s="169"/>
      <c r="D37" s="171"/>
      <c r="E37" s="168"/>
      <c r="F37" s="169" t="s">
        <v>217</v>
      </c>
      <c r="G37" s="169"/>
      <c r="H37" s="169"/>
      <c r="I37" s="169"/>
      <c r="J37" s="169"/>
      <c r="K37" s="169"/>
      <c r="L37" s="169"/>
      <c r="M37" s="3">
        <v>10001.506508137449</v>
      </c>
      <c r="N37" s="451"/>
      <c r="O37" s="330">
        <v>10001.506508137449</v>
      </c>
      <c r="P37" s="451"/>
      <c r="Q37" s="37"/>
      <c r="R37" s="214"/>
      <c r="S37"/>
      <c r="T37" s="115"/>
      <c r="U37" s="694"/>
    </row>
    <row r="38" spans="1:21" s="21" customFormat="1" ht="15" customHeight="1" x14ac:dyDescent="0.2">
      <c r="A38" s="208">
        <v>38</v>
      </c>
      <c r="B38" s="451"/>
      <c r="C38" s="169"/>
      <c r="D38" s="171"/>
      <c r="E38" s="168" t="s">
        <v>212</v>
      </c>
      <c r="F38" s="169"/>
      <c r="G38" s="169"/>
      <c r="H38" s="169"/>
      <c r="I38" s="169"/>
      <c r="J38" s="169"/>
      <c r="K38" s="169"/>
      <c r="L38" s="169"/>
      <c r="M38" s="451"/>
      <c r="N38" s="455">
        <f>SUM(M35:M37)</f>
        <v>30905.744295935769</v>
      </c>
      <c r="O38" s="451"/>
      <c r="P38" s="455">
        <f>SUM(O35:O37)</f>
        <v>30905.744295935769</v>
      </c>
      <c r="Q38" s="37"/>
      <c r="R38" s="214" t="s">
        <v>599</v>
      </c>
      <c r="S38"/>
      <c r="T38" s="115"/>
      <c r="U38" s="694"/>
    </row>
    <row r="39" spans="1:21" s="21" customFormat="1" ht="15" customHeight="1" x14ac:dyDescent="0.2">
      <c r="A39" s="208">
        <v>39</v>
      </c>
      <c r="B39" s="451"/>
      <c r="C39" s="169"/>
      <c r="D39" s="171" t="s">
        <v>218</v>
      </c>
      <c r="E39" s="168"/>
      <c r="F39" s="169"/>
      <c r="G39" s="169"/>
      <c r="H39" s="169"/>
      <c r="I39" s="169"/>
      <c r="J39" s="169"/>
      <c r="K39" s="169"/>
      <c r="L39" s="169"/>
      <c r="M39" s="451"/>
      <c r="N39" s="451"/>
      <c r="O39" s="451"/>
      <c r="P39" s="451"/>
      <c r="Q39" s="37"/>
      <c r="R39" s="214"/>
      <c r="S39"/>
      <c r="T39"/>
    </row>
    <row r="40" spans="1:21" s="21" customFormat="1" ht="15" customHeight="1" x14ac:dyDescent="0.2">
      <c r="A40" s="208">
        <v>40</v>
      </c>
      <c r="B40" s="451"/>
      <c r="C40" s="170"/>
      <c r="D40" s="171"/>
      <c r="E40" s="168"/>
      <c r="F40" s="169" t="s">
        <v>219</v>
      </c>
      <c r="G40" s="169"/>
      <c r="H40" s="169"/>
      <c r="I40" s="169"/>
      <c r="J40" s="169"/>
      <c r="K40" s="169"/>
      <c r="L40" s="169"/>
      <c r="M40" s="3">
        <v>0</v>
      </c>
      <c r="N40" s="451"/>
      <c r="O40" s="3">
        <f>+M40</f>
        <v>0</v>
      </c>
      <c r="P40" s="451"/>
      <c r="Q40" s="37"/>
      <c r="R40" s="214"/>
      <c r="S40"/>
      <c r="T40"/>
    </row>
    <row r="41" spans="1:21" s="21" customFormat="1" ht="15" customHeight="1" x14ac:dyDescent="0.2">
      <c r="A41" s="208">
        <v>41</v>
      </c>
      <c r="B41" s="451"/>
      <c r="C41" s="169"/>
      <c r="D41" s="171"/>
      <c r="E41" s="168"/>
      <c r="F41" s="169" t="s">
        <v>220</v>
      </c>
      <c r="G41" s="169"/>
      <c r="H41" s="169"/>
      <c r="I41" s="169"/>
      <c r="J41" s="169"/>
      <c r="K41" s="169"/>
      <c r="L41" s="169"/>
      <c r="M41" s="605" t="s">
        <v>931</v>
      </c>
      <c r="N41" s="451"/>
      <c r="O41" s="605" t="str">
        <f>+M41</f>
        <v>NA</v>
      </c>
      <c r="P41" s="451"/>
      <c r="Q41" s="37"/>
      <c r="R41" s="214"/>
      <c r="S41"/>
      <c r="T41"/>
    </row>
    <row r="42" spans="1:21" s="21" customFormat="1" ht="15" customHeight="1" x14ac:dyDescent="0.2">
      <c r="A42" s="208">
        <v>42</v>
      </c>
      <c r="B42" s="451"/>
      <c r="C42" s="169"/>
      <c r="D42" s="171"/>
      <c r="E42" s="168"/>
      <c r="F42" s="169" t="s">
        <v>221</v>
      </c>
      <c r="G42" s="169"/>
      <c r="H42" s="169"/>
      <c r="I42" s="169"/>
      <c r="J42" s="169"/>
      <c r="K42" s="169"/>
      <c r="L42" s="169"/>
      <c r="M42" s="3">
        <v>0</v>
      </c>
      <c r="N42" s="451"/>
      <c r="O42" s="3">
        <f>+M42</f>
        <v>0</v>
      </c>
      <c r="P42" s="451"/>
      <c r="Q42" s="37"/>
      <c r="R42" s="214"/>
      <c r="S42"/>
      <c r="T42"/>
    </row>
    <row r="43" spans="1:21" s="21" customFormat="1" ht="15" customHeight="1" x14ac:dyDescent="0.2">
      <c r="A43" s="208">
        <v>43</v>
      </c>
      <c r="B43" s="451"/>
      <c r="C43" s="169"/>
      <c r="D43" s="171"/>
      <c r="E43" s="168" t="s">
        <v>134</v>
      </c>
      <c r="F43" s="169"/>
      <c r="G43" s="169"/>
      <c r="H43" s="169"/>
      <c r="I43" s="169"/>
      <c r="J43" s="169"/>
      <c r="K43" s="169"/>
      <c r="L43" s="169"/>
      <c r="M43" s="451"/>
      <c r="N43" s="455">
        <f>SUM(M40:M42)</f>
        <v>0</v>
      </c>
      <c r="O43" s="451"/>
      <c r="P43" s="455">
        <f>SUM(O40:O42)</f>
        <v>0</v>
      </c>
      <c r="Q43" s="37"/>
      <c r="R43" s="214" t="s">
        <v>598</v>
      </c>
      <c r="S43"/>
      <c r="T43"/>
    </row>
    <row r="44" spans="1:21" ht="15" customHeight="1" x14ac:dyDescent="0.2">
      <c r="A44" s="208">
        <v>44</v>
      </c>
      <c r="B44" s="451"/>
      <c r="C44" s="169"/>
      <c r="D44" s="171"/>
      <c r="E44" s="168"/>
      <c r="F44" s="224"/>
      <c r="G44" s="169"/>
      <c r="H44" s="169"/>
      <c r="I44" s="169"/>
      <c r="J44" s="169"/>
      <c r="K44" s="169"/>
      <c r="L44" s="169"/>
      <c r="M44" s="451"/>
      <c r="N44" s="451"/>
      <c r="O44" s="451"/>
      <c r="P44" s="451"/>
      <c r="Q44" s="37"/>
      <c r="R44" s="214"/>
      <c r="S44"/>
      <c r="T44"/>
    </row>
    <row r="45" spans="1:21" ht="15" customHeight="1" x14ac:dyDescent="0.2">
      <c r="A45" s="208">
        <v>45</v>
      </c>
      <c r="B45" s="451"/>
      <c r="C45" s="170"/>
      <c r="D45" s="171" t="s">
        <v>6</v>
      </c>
      <c r="E45" s="168" t="s">
        <v>137</v>
      </c>
      <c r="F45" s="169"/>
      <c r="G45" s="169"/>
      <c r="H45" s="169"/>
      <c r="I45" s="169"/>
      <c r="J45" s="169"/>
      <c r="K45" s="169"/>
      <c r="L45" s="169"/>
      <c r="M45" s="451"/>
      <c r="N45" s="3">
        <v>0</v>
      </c>
      <c r="O45" s="451"/>
      <c r="P45" s="3">
        <f>+N45</f>
        <v>0</v>
      </c>
      <c r="Q45" s="37"/>
      <c r="R45" s="214" t="s">
        <v>600</v>
      </c>
      <c r="S45"/>
      <c r="T45"/>
    </row>
    <row r="46" spans="1:21" ht="15" customHeight="1" x14ac:dyDescent="0.2">
      <c r="A46" s="208">
        <v>46</v>
      </c>
      <c r="B46" s="451"/>
      <c r="C46" s="169"/>
      <c r="D46" s="169"/>
      <c r="E46" s="168"/>
      <c r="F46" s="169"/>
      <c r="G46" s="169"/>
      <c r="H46" s="169"/>
      <c r="I46" s="169"/>
      <c r="J46" s="169"/>
      <c r="K46" s="169"/>
      <c r="L46" s="169"/>
      <c r="M46" s="451"/>
      <c r="N46" s="451"/>
      <c r="O46" s="451"/>
      <c r="P46" s="451"/>
      <c r="Q46" s="37"/>
      <c r="R46" s="214"/>
    </row>
    <row r="47" spans="1:21" ht="15" customHeight="1" x14ac:dyDescent="0.2">
      <c r="A47" s="208">
        <v>47</v>
      </c>
      <c r="B47" s="451"/>
      <c r="C47" s="170"/>
      <c r="D47" s="171" t="s">
        <v>6</v>
      </c>
      <c r="E47" s="168" t="s">
        <v>136</v>
      </c>
      <c r="F47" s="169"/>
      <c r="G47" s="169"/>
      <c r="H47" s="169"/>
      <c r="I47" s="169"/>
      <c r="J47" s="169"/>
      <c r="K47" s="169"/>
      <c r="L47" s="169"/>
      <c r="M47" s="451"/>
      <c r="N47" s="451"/>
      <c r="O47" s="451"/>
      <c r="P47" s="455">
        <f>P49-(P29-P31+P33+P38-P43+P45)</f>
        <v>0.2299018488265574</v>
      </c>
      <c r="Q47" s="37"/>
      <c r="R47" s="214" t="s">
        <v>601</v>
      </c>
      <c r="S47" s="93"/>
      <c r="T47" s="93"/>
    </row>
    <row r="48" spans="1:21" ht="15" customHeight="1" thickBot="1" x14ac:dyDescent="0.25">
      <c r="A48" s="208">
        <v>48</v>
      </c>
      <c r="B48" s="451"/>
      <c r="C48" s="169"/>
      <c r="D48" s="169"/>
      <c r="E48" s="168"/>
      <c r="F48" s="169"/>
      <c r="G48" s="169"/>
      <c r="H48" s="169"/>
      <c r="I48" s="169"/>
      <c r="J48" s="169"/>
      <c r="K48" s="169"/>
      <c r="L48" s="169"/>
      <c r="M48" s="451"/>
      <c r="N48" s="451"/>
      <c r="O48" s="451"/>
      <c r="P48" s="451"/>
      <c r="Q48" s="37"/>
      <c r="R48" s="214"/>
      <c r="S48" s="93"/>
      <c r="T48" s="93"/>
    </row>
    <row r="49" spans="1:20" ht="15" customHeight="1" thickBot="1" x14ac:dyDescent="0.25">
      <c r="A49" s="208">
        <v>49</v>
      </c>
      <c r="B49" s="451"/>
      <c r="C49" s="168"/>
      <c r="D49" s="169"/>
      <c r="E49" s="168" t="s">
        <v>213</v>
      </c>
      <c r="F49" s="169"/>
      <c r="G49" s="169"/>
      <c r="H49" s="169"/>
      <c r="I49" s="169"/>
      <c r="J49" s="169"/>
      <c r="K49" s="169"/>
      <c r="L49" s="169"/>
      <c r="M49" s="451"/>
      <c r="N49" s="456">
        <f>N29-N31+N33+N38-N43+N45</f>
        <v>199620.57437800834</v>
      </c>
      <c r="O49" s="451"/>
      <c r="P49" s="456">
        <f>'S5e.Asset Allocations'!K49</f>
        <v>199620.70317985717</v>
      </c>
      <c r="Q49" s="37"/>
      <c r="R49" s="214" t="s">
        <v>587</v>
      </c>
      <c r="S49" s="93"/>
      <c r="T49" s="93"/>
    </row>
    <row r="50" spans="1:20" ht="42" customHeight="1" x14ac:dyDescent="0.2">
      <c r="A50" s="208">
        <v>50</v>
      </c>
      <c r="B50" s="451"/>
      <c r="C50" s="629" t="s">
        <v>735</v>
      </c>
      <c r="D50" s="629"/>
      <c r="E50" s="629"/>
      <c r="F50" s="629"/>
      <c r="G50" s="629"/>
      <c r="H50" s="629"/>
      <c r="I50" s="629"/>
      <c r="J50" s="629"/>
      <c r="K50" s="629"/>
      <c r="L50" s="629"/>
      <c r="M50" s="629"/>
      <c r="N50" s="629"/>
      <c r="O50" s="629"/>
      <c r="P50" s="629"/>
      <c r="Q50" s="37"/>
      <c r="R50" s="214"/>
      <c r="S50" s="93"/>
      <c r="T50" s="93"/>
    </row>
    <row r="51" spans="1:20" s="135" customFormat="1" ht="17.25" customHeight="1" x14ac:dyDescent="0.2">
      <c r="A51" s="208">
        <v>51</v>
      </c>
      <c r="B51" s="451"/>
      <c r="C51" s="206"/>
      <c r="D51" s="206"/>
      <c r="E51" s="206"/>
      <c r="F51" s="206"/>
      <c r="G51" s="206"/>
      <c r="H51" s="206"/>
      <c r="I51" s="206"/>
      <c r="J51" s="206"/>
      <c r="K51" s="206"/>
      <c r="L51" s="206"/>
      <c r="M51" s="206"/>
      <c r="N51" s="206"/>
      <c r="O51" s="206"/>
      <c r="P51" s="206"/>
      <c r="Q51" s="37"/>
      <c r="R51" s="214"/>
    </row>
    <row r="52" spans="1:20" s="29" customFormat="1" ht="30" customHeight="1" x14ac:dyDescent="0.3">
      <c r="A52" s="116">
        <v>52</v>
      </c>
      <c r="B52" s="169"/>
      <c r="C52" s="164" t="s">
        <v>459</v>
      </c>
      <c r="D52" s="169"/>
      <c r="E52" s="169"/>
      <c r="F52" s="169"/>
      <c r="G52" s="169"/>
      <c r="H52" s="169"/>
      <c r="I52" s="169"/>
      <c r="J52" s="169"/>
      <c r="K52" s="169"/>
      <c r="L52" s="172"/>
      <c r="M52" s="172"/>
      <c r="N52" s="172"/>
      <c r="O52" s="172"/>
      <c r="P52" s="172"/>
      <c r="Q52" s="37"/>
      <c r="R52" s="214"/>
    </row>
    <row r="53" spans="1:20" x14ac:dyDescent="0.2">
      <c r="A53" s="116">
        <v>53</v>
      </c>
      <c r="B53" s="172"/>
      <c r="C53" s="172"/>
      <c r="D53" s="172"/>
      <c r="E53" s="172"/>
      <c r="F53" s="172"/>
      <c r="G53" s="172"/>
      <c r="H53" s="172"/>
      <c r="I53" s="172"/>
      <c r="J53" s="169"/>
      <c r="K53" s="172"/>
      <c r="L53" s="172"/>
      <c r="M53" s="172"/>
      <c r="N53" s="172"/>
      <c r="O53" s="172"/>
      <c r="P53" s="172"/>
      <c r="Q53" s="37"/>
      <c r="R53" s="214"/>
      <c r="S53"/>
      <c r="T53"/>
    </row>
    <row r="54" spans="1:20" ht="15" customHeight="1" x14ac:dyDescent="0.25">
      <c r="A54" s="116">
        <v>54</v>
      </c>
      <c r="B54" s="169"/>
      <c r="C54" s="169"/>
      <c r="D54" s="169"/>
      <c r="E54" s="169"/>
      <c r="F54" s="169" t="s">
        <v>631</v>
      </c>
      <c r="G54" s="169"/>
      <c r="H54" s="169"/>
      <c r="I54" s="169"/>
      <c r="J54" s="169"/>
      <c r="K54" s="169"/>
      <c r="L54" s="169"/>
      <c r="M54" s="169"/>
      <c r="N54" s="169"/>
      <c r="O54" s="169"/>
      <c r="P54" s="3">
        <v>1011</v>
      </c>
      <c r="Q54" s="37"/>
      <c r="R54" s="214"/>
      <c r="S54" s="214"/>
      <c r="T54"/>
    </row>
    <row r="55" spans="1:20" ht="15" customHeight="1" x14ac:dyDescent="0.25">
      <c r="A55" s="116">
        <v>55</v>
      </c>
      <c r="B55" s="169"/>
      <c r="C55" s="169"/>
      <c r="D55" s="169"/>
      <c r="E55" s="169"/>
      <c r="F55" s="169" t="s">
        <v>630</v>
      </c>
      <c r="G55" s="169"/>
      <c r="H55" s="169"/>
      <c r="I55" s="169"/>
      <c r="J55" s="169"/>
      <c r="K55" s="169"/>
      <c r="L55" s="169"/>
      <c r="M55" s="169"/>
      <c r="N55" s="169"/>
      <c r="O55" s="169"/>
      <c r="P55" s="3">
        <v>1000</v>
      </c>
      <c r="Q55" s="37"/>
      <c r="R55" s="214"/>
      <c r="S55" s="214"/>
      <c r="T55"/>
    </row>
    <row r="56" spans="1:20" ht="15" customHeight="1" x14ac:dyDescent="0.2">
      <c r="A56" s="116">
        <v>56</v>
      </c>
      <c r="B56" s="169"/>
      <c r="C56" s="169"/>
      <c r="D56" s="169"/>
      <c r="E56" s="169"/>
      <c r="F56" s="169" t="s">
        <v>228</v>
      </c>
      <c r="G56" s="169"/>
      <c r="H56" s="169"/>
      <c r="I56" s="169"/>
      <c r="J56" s="169"/>
      <c r="K56" s="169"/>
      <c r="L56" s="169"/>
      <c r="M56" s="169"/>
      <c r="N56" s="169"/>
      <c r="O56" s="169"/>
      <c r="P56" s="357">
        <f>IF(P54&lt;&gt;0,P54/P55-1, 0)</f>
        <v>1.0999999999999899E-2</v>
      </c>
      <c r="Q56" s="37"/>
      <c r="R56" s="214"/>
      <c r="S56"/>
      <c r="T56"/>
    </row>
    <row r="57" spans="1:20" ht="15" customHeight="1" x14ac:dyDescent="0.2">
      <c r="A57" s="116">
        <v>57</v>
      </c>
      <c r="B57" s="169"/>
      <c r="C57" s="169"/>
      <c r="D57" s="169"/>
      <c r="E57" s="169"/>
      <c r="F57" s="169"/>
      <c r="G57" s="169"/>
      <c r="H57" s="169"/>
      <c r="I57" s="169"/>
      <c r="J57" s="169"/>
      <c r="K57" s="169"/>
      <c r="L57" s="169"/>
      <c r="M57" s="437"/>
      <c r="N57" s="437"/>
      <c r="O57" s="437"/>
      <c r="P57" s="437"/>
      <c r="Q57" s="37"/>
      <c r="R57" s="214"/>
      <c r="S57"/>
      <c r="T57"/>
    </row>
    <row r="58" spans="1:20" ht="15" customHeight="1" x14ac:dyDescent="0.2">
      <c r="A58" s="116">
        <v>58</v>
      </c>
      <c r="B58" s="169"/>
      <c r="C58" s="169"/>
      <c r="D58" s="169"/>
      <c r="E58" s="169"/>
      <c r="F58" s="169"/>
      <c r="G58" s="169"/>
      <c r="H58" s="169"/>
      <c r="I58" s="169"/>
      <c r="J58" s="169"/>
      <c r="K58" s="169"/>
      <c r="L58" s="169"/>
      <c r="M58" s="634" t="s">
        <v>214</v>
      </c>
      <c r="N58" s="634"/>
      <c r="O58" s="634" t="s">
        <v>157</v>
      </c>
      <c r="P58" s="634"/>
      <c r="Q58" s="37"/>
      <c r="R58" s="214"/>
      <c r="S58"/>
      <c r="T58"/>
    </row>
    <row r="59" spans="1:20" ht="15" customHeight="1" x14ac:dyDescent="0.2">
      <c r="A59" s="116">
        <v>59</v>
      </c>
      <c r="B59" s="169"/>
      <c r="C59" s="169"/>
      <c r="D59" s="169"/>
      <c r="E59" s="169"/>
      <c r="F59" s="169"/>
      <c r="G59" s="169"/>
      <c r="H59" s="169"/>
      <c r="I59" s="169"/>
      <c r="J59" s="169"/>
      <c r="K59" s="169"/>
      <c r="L59" s="169"/>
      <c r="M59" s="181" t="s">
        <v>127</v>
      </c>
      <c r="N59" s="181" t="s">
        <v>127</v>
      </c>
      <c r="O59" s="181" t="s">
        <v>127</v>
      </c>
      <c r="P59" s="181" t="s">
        <v>127</v>
      </c>
      <c r="Q59" s="37"/>
      <c r="R59" s="215"/>
      <c r="S59"/>
      <c r="T59"/>
    </row>
    <row r="60" spans="1:20" ht="15" customHeight="1" x14ac:dyDescent="0.2">
      <c r="A60" s="116">
        <v>60</v>
      </c>
      <c r="B60" s="169"/>
      <c r="C60" s="169"/>
      <c r="D60" s="169"/>
      <c r="E60" s="169"/>
      <c r="F60" s="169" t="s">
        <v>128</v>
      </c>
      <c r="G60" s="169"/>
      <c r="H60" s="169"/>
      <c r="I60" s="169"/>
      <c r="J60" s="169"/>
      <c r="K60" s="169"/>
      <c r="L60" s="169"/>
      <c r="M60" s="5">
        <f>N29</f>
        <v>178989.7</v>
      </c>
      <c r="N60" s="451"/>
      <c r="O60" s="5">
        <f>P29</f>
        <v>178989.6</v>
      </c>
      <c r="P60" s="451"/>
      <c r="Q60" s="37"/>
      <c r="R60" s="214" t="s">
        <v>844</v>
      </c>
      <c r="S60"/>
      <c r="T60"/>
    </row>
    <row r="61" spans="1:20" ht="15" customHeight="1" x14ac:dyDescent="0.2">
      <c r="A61" s="116">
        <v>61</v>
      </c>
      <c r="B61" s="172"/>
      <c r="C61" s="170"/>
      <c r="D61" s="171" t="s">
        <v>5</v>
      </c>
      <c r="E61" s="170"/>
      <c r="F61" s="311" t="s">
        <v>679</v>
      </c>
      <c r="G61" s="311"/>
      <c r="H61" s="447"/>
      <c r="I61" s="447"/>
      <c r="J61" s="447"/>
      <c r="K61" s="447"/>
      <c r="L61" s="169"/>
      <c r="M61" s="3">
        <v>0</v>
      </c>
      <c r="N61" s="451"/>
      <c r="O61" s="3">
        <f>+M61</f>
        <v>0</v>
      </c>
      <c r="P61" s="451"/>
      <c r="Q61" s="37"/>
      <c r="R61" s="214"/>
      <c r="S61"/>
      <c r="T61"/>
    </row>
    <row r="62" spans="1:20" ht="15" customHeight="1" x14ac:dyDescent="0.2">
      <c r="A62" s="116">
        <v>62</v>
      </c>
      <c r="B62" s="169"/>
      <c r="C62" s="169"/>
      <c r="D62" s="169"/>
      <c r="E62" s="169"/>
      <c r="F62" s="169"/>
      <c r="G62" s="169"/>
      <c r="H62" s="169"/>
      <c r="I62" s="169"/>
      <c r="J62" s="169"/>
      <c r="K62" s="169"/>
      <c r="L62" s="169"/>
      <c r="M62" s="451"/>
      <c r="N62" s="451"/>
      <c r="O62" s="451"/>
      <c r="P62" s="451"/>
      <c r="Q62" s="37"/>
      <c r="R62" s="214"/>
      <c r="S62"/>
      <c r="T62"/>
    </row>
    <row r="63" spans="1:20" ht="15" customHeight="1" thickBot="1" x14ac:dyDescent="0.25">
      <c r="A63" s="116">
        <v>63</v>
      </c>
      <c r="B63" s="169"/>
      <c r="C63" s="169"/>
      <c r="D63" s="447"/>
      <c r="E63" s="447"/>
      <c r="F63" s="447" t="s">
        <v>229</v>
      </c>
      <c r="G63" s="447"/>
      <c r="H63" s="447"/>
      <c r="I63" s="447"/>
      <c r="J63" s="447"/>
      <c r="K63" s="447"/>
      <c r="L63" s="169"/>
      <c r="M63" s="5">
        <f>M60-M61</f>
        <v>178989.7</v>
      </c>
      <c r="N63" s="451"/>
      <c r="O63" s="5">
        <f>O60-O61</f>
        <v>178989.6</v>
      </c>
      <c r="P63" s="451"/>
      <c r="Q63" s="37"/>
      <c r="R63" s="214"/>
      <c r="S63"/>
      <c r="T63"/>
    </row>
    <row r="64" spans="1:20" ht="15" customHeight="1" thickBot="1" x14ac:dyDescent="0.25">
      <c r="A64" s="116">
        <v>64</v>
      </c>
      <c r="B64" s="169"/>
      <c r="C64" s="169"/>
      <c r="D64" s="169"/>
      <c r="E64" s="118" t="s">
        <v>387</v>
      </c>
      <c r="F64" s="169"/>
      <c r="G64" s="169"/>
      <c r="H64" s="169"/>
      <c r="I64" s="169"/>
      <c r="J64" s="169"/>
      <c r="K64" s="169"/>
      <c r="L64" s="169"/>
      <c r="M64" s="451"/>
      <c r="N64" s="427">
        <f>IF(M63&lt;&gt;0,M63*$P56,0)</f>
        <v>1968.8866999999821</v>
      </c>
      <c r="O64" s="451"/>
      <c r="P64" s="427">
        <f>IF(O63&lt;&gt;0,O63*$P56,0)</f>
        <v>1968.8855999999819</v>
      </c>
      <c r="Q64" s="37"/>
      <c r="R64" s="214" t="s">
        <v>610</v>
      </c>
      <c r="S64"/>
      <c r="T64"/>
    </row>
    <row r="65" spans="1:20" s="114" customFormat="1" x14ac:dyDescent="0.2">
      <c r="A65" s="116">
        <v>65</v>
      </c>
      <c r="B65" s="169"/>
      <c r="C65" s="169"/>
      <c r="D65" s="169"/>
      <c r="E65" s="169"/>
      <c r="F65" s="169"/>
      <c r="G65" s="169"/>
      <c r="H65" s="169"/>
      <c r="I65" s="169"/>
      <c r="J65" s="169"/>
      <c r="K65" s="169"/>
      <c r="L65" s="169"/>
      <c r="M65" s="169"/>
      <c r="N65" s="169"/>
      <c r="O65" s="169"/>
      <c r="P65" s="169"/>
      <c r="Q65" s="37"/>
      <c r="R65" s="214"/>
      <c r="S65" s="135"/>
      <c r="T65" s="135"/>
    </row>
    <row r="66" spans="1:20" s="29" customFormat="1" ht="30" customHeight="1" x14ac:dyDescent="0.3">
      <c r="A66" s="116">
        <v>66</v>
      </c>
      <c r="B66" s="169"/>
      <c r="C66" s="164" t="s">
        <v>460</v>
      </c>
      <c r="D66" s="169"/>
      <c r="E66" s="169"/>
      <c r="F66" s="169"/>
      <c r="G66" s="169"/>
      <c r="H66" s="169"/>
      <c r="I66" s="169"/>
      <c r="J66" s="169"/>
      <c r="K66" s="169"/>
      <c r="L66" s="172"/>
      <c r="M66" s="172"/>
      <c r="N66" s="172"/>
      <c r="O66" s="172"/>
      <c r="P66" s="172"/>
      <c r="Q66" s="37"/>
      <c r="R66" s="214"/>
    </row>
    <row r="67" spans="1:20" ht="35.25" customHeight="1" x14ac:dyDescent="0.2">
      <c r="A67" s="116">
        <v>67</v>
      </c>
      <c r="B67" s="169"/>
      <c r="C67" s="169"/>
      <c r="D67" s="169"/>
      <c r="E67" s="169"/>
      <c r="F67" s="169"/>
      <c r="G67" s="169"/>
      <c r="H67" s="169"/>
      <c r="I67" s="169"/>
      <c r="J67" s="169"/>
      <c r="K67" s="169"/>
      <c r="L67" s="169"/>
      <c r="M67" s="630" t="s">
        <v>230</v>
      </c>
      <c r="N67" s="630"/>
      <c r="O67" s="630" t="s">
        <v>231</v>
      </c>
      <c r="P67" s="630"/>
      <c r="Q67" s="37"/>
      <c r="R67" s="214"/>
      <c r="S67"/>
      <c r="T67"/>
    </row>
    <row r="68" spans="1:20" ht="15" customHeight="1" x14ac:dyDescent="0.2">
      <c r="A68" s="116">
        <v>68</v>
      </c>
      <c r="B68" s="169"/>
      <c r="C68" s="169"/>
      <c r="D68" s="447"/>
      <c r="E68" s="168" t="s">
        <v>232</v>
      </c>
      <c r="F68" s="447"/>
      <c r="G68" s="447"/>
      <c r="H68" s="447"/>
      <c r="I68" s="447"/>
      <c r="J68" s="447"/>
      <c r="K68" s="447"/>
      <c r="L68" s="169"/>
      <c r="M68" s="451"/>
      <c r="N68" s="3">
        <v>7735</v>
      </c>
      <c r="O68" s="451"/>
      <c r="P68" s="3">
        <f>+N68</f>
        <v>7735</v>
      </c>
      <c r="Q68" s="37"/>
      <c r="R68" s="214"/>
      <c r="S68" s="214"/>
      <c r="T68"/>
    </row>
    <row r="69" spans="1:20" ht="15" customHeight="1" x14ac:dyDescent="0.2">
      <c r="A69" s="116">
        <v>69</v>
      </c>
      <c r="B69" s="169"/>
      <c r="C69" s="171"/>
      <c r="D69" s="171" t="s">
        <v>6</v>
      </c>
      <c r="E69" s="168"/>
      <c r="F69" s="169" t="s">
        <v>233</v>
      </c>
      <c r="G69" s="179"/>
      <c r="H69" s="179"/>
      <c r="I69" s="179"/>
      <c r="J69" s="179"/>
      <c r="K69" s="179"/>
      <c r="L69" s="169"/>
      <c r="M69" s="3">
        <f>'S6a.Actual Expenditure Capex'!K25</f>
        <v>27428.573049999995</v>
      </c>
      <c r="N69" s="451"/>
      <c r="O69" s="5">
        <f>'S6a.Actual Expenditure Capex'!K25</f>
        <v>27428.573049999995</v>
      </c>
      <c r="P69" s="451"/>
      <c r="Q69" s="37"/>
      <c r="R69" s="214" t="s">
        <v>588</v>
      </c>
      <c r="S69"/>
      <c r="T69"/>
    </row>
    <row r="70" spans="1:20" ht="15" customHeight="1" x14ac:dyDescent="0.2">
      <c r="A70" s="116">
        <v>70</v>
      </c>
      <c r="B70" s="169"/>
      <c r="C70" s="171"/>
      <c r="D70" s="171" t="s">
        <v>5</v>
      </c>
      <c r="E70" s="168"/>
      <c r="F70" s="169" t="s">
        <v>133</v>
      </c>
      <c r="G70" s="179"/>
      <c r="H70" s="179"/>
      <c r="I70" s="179"/>
      <c r="J70" s="179"/>
      <c r="K70" s="179"/>
      <c r="L70" s="169"/>
      <c r="M70" s="5">
        <f>N38</f>
        <v>30905.744295935769</v>
      </c>
      <c r="N70" s="451"/>
      <c r="O70" s="5">
        <f>P38</f>
        <v>30905.744295935769</v>
      </c>
      <c r="P70" s="451"/>
      <c r="Q70" s="37"/>
      <c r="R70" s="262" t="s">
        <v>675</v>
      </c>
      <c r="S70"/>
      <c r="T70"/>
    </row>
    <row r="71" spans="1:20" ht="15" customHeight="1" thickBot="1" x14ac:dyDescent="0.25">
      <c r="A71" s="116">
        <v>71</v>
      </c>
      <c r="B71" s="169"/>
      <c r="C71" s="171"/>
      <c r="D71" s="171" t="s">
        <v>6</v>
      </c>
      <c r="E71" s="168"/>
      <c r="F71" s="169" t="s">
        <v>136</v>
      </c>
      <c r="G71" s="179"/>
      <c r="H71" s="179"/>
      <c r="I71" s="179"/>
      <c r="J71" s="179"/>
      <c r="K71" s="179"/>
      <c r="L71" s="169"/>
      <c r="M71" s="451"/>
      <c r="N71" s="451"/>
      <c r="O71" s="3">
        <v>0</v>
      </c>
      <c r="P71" s="451"/>
      <c r="Q71" s="37"/>
      <c r="R71" s="214"/>
      <c r="S71"/>
      <c r="T71"/>
    </row>
    <row r="72" spans="1:20" ht="15" customHeight="1" thickBot="1" x14ac:dyDescent="0.25">
      <c r="A72" s="116">
        <v>72</v>
      </c>
      <c r="B72" s="169"/>
      <c r="C72" s="169"/>
      <c r="D72" s="447"/>
      <c r="E72" s="168" t="s">
        <v>234</v>
      </c>
      <c r="F72" s="447"/>
      <c r="G72" s="447"/>
      <c r="H72" s="447"/>
      <c r="I72" s="447"/>
      <c r="J72" s="447"/>
      <c r="K72" s="447"/>
      <c r="L72" s="169"/>
      <c r="M72" s="451"/>
      <c r="N72" s="427">
        <f>N68+M69-M70</f>
        <v>4257.8287540642232</v>
      </c>
      <c r="O72" s="451"/>
      <c r="P72" s="427">
        <f>P68+O69-O70+O71</f>
        <v>4257.8287540642232</v>
      </c>
      <c r="Q72" s="37"/>
      <c r="R72" s="214"/>
      <c r="S72"/>
      <c r="T72"/>
    </row>
    <row r="73" spans="1:20" ht="15" customHeight="1" x14ac:dyDescent="0.2">
      <c r="A73" s="116">
        <v>73</v>
      </c>
      <c r="B73" s="169"/>
      <c r="C73" s="169"/>
      <c r="D73" s="447"/>
      <c r="E73" s="447"/>
      <c r="F73" s="447"/>
      <c r="G73" s="447"/>
      <c r="H73" s="447"/>
      <c r="I73" s="447"/>
      <c r="J73" s="447"/>
      <c r="K73" s="447"/>
      <c r="L73" s="169"/>
      <c r="M73" s="169"/>
      <c r="N73" s="172"/>
      <c r="O73" s="169"/>
      <c r="P73" s="169"/>
      <c r="Q73" s="37"/>
      <c r="R73" s="214"/>
      <c r="S73" s="29"/>
      <c r="T73" s="29"/>
    </row>
    <row r="74" spans="1:20" ht="15" customHeight="1" x14ac:dyDescent="0.2">
      <c r="A74" s="116">
        <v>74</v>
      </c>
      <c r="B74" s="169"/>
      <c r="C74" s="169"/>
      <c r="D74" s="447"/>
      <c r="E74" s="447"/>
      <c r="F74" s="169" t="s">
        <v>235</v>
      </c>
      <c r="G74" s="447"/>
      <c r="H74" s="447"/>
      <c r="I74" s="447"/>
      <c r="J74" s="447"/>
      <c r="K74" s="447"/>
      <c r="L74" s="169"/>
      <c r="M74" s="169"/>
      <c r="N74" s="172"/>
      <c r="O74" s="169"/>
      <c r="P74" s="345">
        <v>0</v>
      </c>
      <c r="Q74" s="37"/>
      <c r="R74" s="214"/>
      <c r="S74" s="29"/>
      <c r="T74" s="29"/>
    </row>
    <row r="75" spans="1:20" s="135" customFormat="1" ht="15" customHeight="1" x14ac:dyDescent="0.2">
      <c r="A75" s="116">
        <v>75</v>
      </c>
      <c r="B75" s="169"/>
      <c r="C75" s="169"/>
      <c r="D75" s="447"/>
      <c r="E75" s="447"/>
      <c r="F75" s="169"/>
      <c r="G75" s="447"/>
      <c r="H75" s="447"/>
      <c r="I75" s="447"/>
      <c r="J75" s="447"/>
      <c r="K75" s="447"/>
      <c r="L75" s="169"/>
      <c r="M75" s="169"/>
      <c r="N75" s="172"/>
      <c r="O75" s="169"/>
      <c r="P75" s="169"/>
      <c r="Q75" s="37"/>
      <c r="R75" s="214"/>
    </row>
    <row r="76" spans="1:20" s="29" customFormat="1" ht="30" customHeight="1" x14ac:dyDescent="0.3">
      <c r="A76" s="116">
        <v>76</v>
      </c>
      <c r="B76" s="169"/>
      <c r="C76" s="164" t="s">
        <v>461</v>
      </c>
      <c r="D76" s="169"/>
      <c r="E76" s="169"/>
      <c r="F76" s="169"/>
      <c r="G76" s="169"/>
      <c r="H76" s="169"/>
      <c r="I76" s="169"/>
      <c r="J76" s="169"/>
      <c r="K76" s="169"/>
      <c r="L76" s="172"/>
      <c r="M76" s="633"/>
      <c r="N76" s="633"/>
      <c r="O76" s="633"/>
      <c r="P76" s="633"/>
      <c r="Q76" s="37"/>
      <c r="R76" s="214"/>
    </row>
    <row r="77" spans="1:20" ht="12.75" customHeight="1" x14ac:dyDescent="0.2">
      <c r="A77" s="116">
        <v>77</v>
      </c>
      <c r="B77" s="169"/>
      <c r="C77" s="169"/>
      <c r="D77" s="169"/>
      <c r="E77" s="169"/>
      <c r="F77" s="169"/>
      <c r="G77" s="169"/>
      <c r="H77" s="169"/>
      <c r="I77" s="169"/>
      <c r="J77" s="169"/>
      <c r="K77" s="169"/>
      <c r="L77" s="169"/>
      <c r="M77" s="630" t="s">
        <v>214</v>
      </c>
      <c r="N77" s="630"/>
      <c r="O77" s="630" t="s">
        <v>157</v>
      </c>
      <c r="P77" s="630"/>
      <c r="Q77" s="37"/>
      <c r="R77" s="214"/>
      <c r="S77"/>
      <c r="T77"/>
    </row>
    <row r="78" spans="1:20" ht="15" customHeight="1" x14ac:dyDescent="0.2">
      <c r="A78" s="116">
        <v>78</v>
      </c>
      <c r="B78" s="169"/>
      <c r="C78" s="169"/>
      <c r="D78" s="169"/>
      <c r="E78" s="169"/>
      <c r="F78" s="169"/>
      <c r="G78" s="169"/>
      <c r="H78" s="169"/>
      <c r="I78" s="169"/>
      <c r="J78" s="169"/>
      <c r="K78" s="169"/>
      <c r="L78" s="169"/>
      <c r="M78" s="180" t="s">
        <v>127</v>
      </c>
      <c r="N78" s="180" t="s">
        <v>127</v>
      </c>
      <c r="O78" s="180" t="s">
        <v>127</v>
      </c>
      <c r="P78" s="180" t="s">
        <v>127</v>
      </c>
      <c r="Q78" s="37"/>
      <c r="R78" s="215"/>
      <c r="S78"/>
      <c r="T78"/>
    </row>
    <row r="79" spans="1:20" ht="15" customHeight="1" x14ac:dyDescent="0.2">
      <c r="A79" s="116">
        <v>79</v>
      </c>
      <c r="B79" s="169"/>
      <c r="C79" s="169"/>
      <c r="D79" s="169"/>
      <c r="E79" s="169"/>
      <c r="F79" s="224" t="s">
        <v>222</v>
      </c>
      <c r="G79" s="169"/>
      <c r="H79" s="169"/>
      <c r="I79" s="169"/>
      <c r="J79" s="169"/>
      <c r="K79" s="169"/>
      <c r="L79" s="169"/>
      <c r="M79" s="3">
        <f>SUM(G100:N100)</f>
        <v>10488.756617927396</v>
      </c>
      <c r="N79" s="451"/>
      <c r="O79" s="3">
        <f>+M79</f>
        <v>10488.756617927396</v>
      </c>
      <c r="P79" s="451"/>
      <c r="Q79" s="37"/>
      <c r="R79" s="214"/>
      <c r="S79"/>
      <c r="T79"/>
    </row>
    <row r="80" spans="1:20" ht="15" customHeight="1" x14ac:dyDescent="0.2">
      <c r="A80" s="116">
        <v>80</v>
      </c>
      <c r="B80" s="169"/>
      <c r="C80" s="169"/>
      <c r="D80" s="171"/>
      <c r="E80" s="169"/>
      <c r="F80" s="224" t="s">
        <v>572</v>
      </c>
      <c r="G80" s="169"/>
      <c r="H80" s="169"/>
      <c r="I80" s="169"/>
      <c r="J80" s="169"/>
      <c r="K80" s="169"/>
      <c r="L80" s="169"/>
      <c r="M80" s="3">
        <v>1755</v>
      </c>
      <c r="N80" s="451"/>
      <c r="O80" s="3">
        <f>+M80</f>
        <v>1755</v>
      </c>
      <c r="P80" s="451"/>
      <c r="Q80" s="37"/>
      <c r="R80" s="214"/>
      <c r="S80"/>
      <c r="T80"/>
    </row>
    <row r="81" spans="1:20" ht="15" customHeight="1" x14ac:dyDescent="0.2">
      <c r="A81" s="116">
        <v>81</v>
      </c>
      <c r="B81" s="169"/>
      <c r="C81" s="169"/>
      <c r="D81" s="171"/>
      <c r="E81" s="169"/>
      <c r="F81" s="224" t="s">
        <v>223</v>
      </c>
      <c r="G81" s="169"/>
      <c r="H81" s="169"/>
      <c r="I81" s="169"/>
      <c r="J81" s="169"/>
      <c r="K81" s="169"/>
      <c r="L81" s="169"/>
      <c r="M81" s="3">
        <v>0</v>
      </c>
      <c r="N81" s="451"/>
      <c r="O81" s="3">
        <v>0</v>
      </c>
      <c r="P81" s="451"/>
      <c r="Q81" s="37"/>
      <c r="R81" s="214"/>
      <c r="S81"/>
      <c r="T81"/>
    </row>
    <row r="82" spans="1:20" ht="15" customHeight="1" thickBot="1" x14ac:dyDescent="0.25">
      <c r="A82" s="116">
        <v>82</v>
      </c>
      <c r="B82" s="169"/>
      <c r="C82" s="169"/>
      <c r="D82" s="171"/>
      <c r="E82" s="169"/>
      <c r="F82" s="224" t="s">
        <v>224</v>
      </c>
      <c r="G82" s="169"/>
      <c r="H82" s="169"/>
      <c r="I82" s="169"/>
      <c r="J82" s="169"/>
      <c r="K82" s="169"/>
      <c r="L82" s="169"/>
      <c r="M82" s="3">
        <v>0</v>
      </c>
      <c r="N82" s="451"/>
      <c r="O82" s="3">
        <v>0</v>
      </c>
      <c r="P82" s="451"/>
      <c r="Q82" s="37"/>
      <c r="R82" s="214"/>
      <c r="S82"/>
      <c r="T82"/>
    </row>
    <row r="83" spans="1:20" ht="15" customHeight="1" thickBot="1" x14ac:dyDescent="0.25">
      <c r="A83" s="116">
        <v>83</v>
      </c>
      <c r="B83" s="169"/>
      <c r="C83" s="169"/>
      <c r="D83" s="169"/>
      <c r="E83" s="168" t="s">
        <v>161</v>
      </c>
      <c r="F83" s="169"/>
      <c r="G83" s="169"/>
      <c r="H83" s="169"/>
      <c r="I83" s="169"/>
      <c r="J83" s="169"/>
      <c r="K83" s="169"/>
      <c r="L83" s="169"/>
      <c r="M83" s="451"/>
      <c r="N83" s="456">
        <f>SUM(M79:M82)</f>
        <v>12243.756617927396</v>
      </c>
      <c r="O83" s="451"/>
      <c r="P83" s="456">
        <f>SUM(O79:O82)</f>
        <v>12243.756617927396</v>
      </c>
      <c r="Q83" s="37"/>
      <c r="R83" s="214" t="s">
        <v>611</v>
      </c>
      <c r="S83"/>
      <c r="T83"/>
    </row>
    <row r="84" spans="1:20" x14ac:dyDescent="0.2">
      <c r="A84" s="116">
        <v>84</v>
      </c>
      <c r="B84" s="169"/>
      <c r="C84" s="169"/>
      <c r="D84" s="169"/>
      <c r="E84" s="169"/>
      <c r="F84" s="169"/>
      <c r="G84" s="169"/>
      <c r="H84" s="169"/>
      <c r="I84" s="169"/>
      <c r="J84" s="169"/>
      <c r="K84" s="169"/>
      <c r="L84" s="169"/>
      <c r="M84" s="169"/>
      <c r="N84" s="169"/>
      <c r="O84" s="169"/>
      <c r="P84" s="169"/>
      <c r="Q84" s="34"/>
      <c r="R84" s="214"/>
      <c r="S84"/>
      <c r="T84"/>
    </row>
    <row r="85" spans="1:20" s="29" customFormat="1" ht="30" customHeight="1" x14ac:dyDescent="0.3">
      <c r="A85" s="116">
        <v>85</v>
      </c>
      <c r="B85" s="169"/>
      <c r="C85" s="164" t="s">
        <v>462</v>
      </c>
      <c r="D85" s="169"/>
      <c r="E85" s="169"/>
      <c r="F85" s="169"/>
      <c r="G85" s="169"/>
      <c r="H85" s="169"/>
      <c r="I85" s="169"/>
      <c r="J85" s="169"/>
      <c r="K85" s="169"/>
      <c r="L85" s="635" t="s">
        <v>95</v>
      </c>
      <c r="M85" s="635"/>
      <c r="N85" s="635"/>
      <c r="O85" s="635"/>
      <c r="P85" s="635"/>
      <c r="Q85" s="37"/>
      <c r="R85" s="214"/>
    </row>
    <row r="86" spans="1:20" ht="67.5" customHeight="1" x14ac:dyDescent="0.2">
      <c r="A86" s="116">
        <v>86</v>
      </c>
      <c r="B86" s="169"/>
      <c r="C86" s="434"/>
      <c r="D86" s="434"/>
      <c r="E86" s="434"/>
      <c r="F86" s="168" t="s">
        <v>656</v>
      </c>
      <c r="G86" s="434"/>
      <c r="H86" s="434"/>
      <c r="I86" s="434"/>
      <c r="J86" s="562" t="s">
        <v>465</v>
      </c>
      <c r="K86" s="562"/>
      <c r="L86" s="562"/>
      <c r="M86" s="562"/>
      <c r="N86" s="436" t="s">
        <v>225</v>
      </c>
      <c r="O86" s="436" t="s">
        <v>226</v>
      </c>
      <c r="P86" s="436" t="s">
        <v>227</v>
      </c>
      <c r="Q86" s="37"/>
      <c r="R86" s="214"/>
      <c r="S86"/>
      <c r="T86"/>
    </row>
    <row r="87" spans="1:20" ht="15" customHeight="1" x14ac:dyDescent="0.2">
      <c r="A87" s="116">
        <v>87</v>
      </c>
      <c r="B87" s="169"/>
      <c r="C87" s="632"/>
      <c r="D87" s="632"/>
      <c r="E87" s="434"/>
      <c r="F87" s="624" t="s">
        <v>932</v>
      </c>
      <c r="G87" s="625"/>
      <c r="H87" s="625"/>
      <c r="I87" s="626"/>
      <c r="J87" s="627" t="s">
        <v>933</v>
      </c>
      <c r="K87" s="625"/>
      <c r="L87" s="625"/>
      <c r="M87" s="626"/>
      <c r="N87" s="582" t="s">
        <v>933</v>
      </c>
      <c r="O87" s="582" t="s">
        <v>933</v>
      </c>
      <c r="P87" s="582" t="s">
        <v>933</v>
      </c>
      <c r="Q87" s="37"/>
      <c r="S87"/>
      <c r="T87"/>
    </row>
    <row r="88" spans="1:20" ht="15" customHeight="1" x14ac:dyDescent="0.2">
      <c r="A88" s="116">
        <v>88</v>
      </c>
      <c r="B88" s="169"/>
      <c r="C88" s="632"/>
      <c r="D88" s="632"/>
      <c r="E88" s="434"/>
      <c r="F88" s="624"/>
      <c r="G88" s="625"/>
      <c r="H88" s="625"/>
      <c r="I88" s="626"/>
      <c r="J88" s="627"/>
      <c r="K88" s="625"/>
      <c r="L88" s="625"/>
      <c r="M88" s="626"/>
      <c r="N88" s="3"/>
      <c r="O88" s="3"/>
      <c r="P88" s="3"/>
      <c r="Q88" s="37"/>
      <c r="S88"/>
      <c r="T88"/>
    </row>
    <row r="89" spans="1:20" ht="15" customHeight="1" x14ac:dyDescent="0.2">
      <c r="A89" s="116">
        <v>89</v>
      </c>
      <c r="B89" s="169"/>
      <c r="C89" s="437"/>
      <c r="D89" s="437"/>
      <c r="E89" s="434"/>
      <c r="F89" s="624"/>
      <c r="G89" s="625"/>
      <c r="H89" s="625"/>
      <c r="I89" s="626"/>
      <c r="J89" s="627"/>
      <c r="K89" s="625"/>
      <c r="L89" s="625"/>
      <c r="M89" s="626"/>
      <c r="N89" s="3"/>
      <c r="O89" s="3"/>
      <c r="P89" s="3"/>
      <c r="Q89" s="37"/>
      <c r="S89"/>
      <c r="T89"/>
    </row>
    <row r="90" spans="1:20" ht="15" customHeight="1" x14ac:dyDescent="0.2">
      <c r="A90" s="116">
        <v>90</v>
      </c>
      <c r="B90" s="169"/>
      <c r="C90" s="437"/>
      <c r="D90" s="437"/>
      <c r="E90" s="434"/>
      <c r="F90" s="624"/>
      <c r="G90" s="625"/>
      <c r="H90" s="625"/>
      <c r="I90" s="626"/>
      <c r="J90" s="627"/>
      <c r="K90" s="625"/>
      <c r="L90" s="625"/>
      <c r="M90" s="626"/>
      <c r="N90" s="3"/>
      <c r="O90" s="3"/>
      <c r="P90" s="3"/>
      <c r="Q90" s="37"/>
      <c r="S90"/>
      <c r="T90"/>
    </row>
    <row r="91" spans="1:20" ht="15" customHeight="1" x14ac:dyDescent="0.2">
      <c r="A91" s="116">
        <v>91</v>
      </c>
      <c r="B91" s="169"/>
      <c r="C91" s="437"/>
      <c r="D91" s="437"/>
      <c r="E91" s="434"/>
      <c r="F91" s="624"/>
      <c r="G91" s="625"/>
      <c r="H91" s="625"/>
      <c r="I91" s="626"/>
      <c r="J91" s="627"/>
      <c r="K91" s="625"/>
      <c r="L91" s="625"/>
      <c r="M91" s="626"/>
      <c r="N91" s="3"/>
      <c r="O91" s="3"/>
      <c r="P91" s="3"/>
      <c r="Q91" s="37"/>
      <c r="S91"/>
      <c r="T91"/>
    </row>
    <row r="92" spans="1:20" ht="15" customHeight="1" x14ac:dyDescent="0.2">
      <c r="A92" s="116">
        <v>92</v>
      </c>
      <c r="B92" s="169"/>
      <c r="C92" s="632"/>
      <c r="D92" s="632"/>
      <c r="E92" s="434"/>
      <c r="F92" s="624"/>
      <c r="G92" s="625"/>
      <c r="H92" s="625"/>
      <c r="I92" s="626"/>
      <c r="J92" s="627"/>
      <c r="K92" s="625"/>
      <c r="L92" s="625"/>
      <c r="M92" s="626"/>
      <c r="N92" s="3"/>
      <c r="O92" s="3"/>
      <c r="P92" s="3"/>
      <c r="Q92" s="37"/>
      <c r="S92" s="250"/>
      <c r="T92" s="250"/>
    </row>
    <row r="93" spans="1:20" ht="15" customHeight="1" x14ac:dyDescent="0.2">
      <c r="A93" s="116">
        <v>93</v>
      </c>
      <c r="B93" s="169"/>
      <c r="C93" s="632"/>
      <c r="D93" s="632"/>
      <c r="E93" s="434"/>
      <c r="F93" s="624"/>
      <c r="G93" s="625"/>
      <c r="H93" s="625"/>
      <c r="I93" s="626"/>
      <c r="J93" s="627"/>
      <c r="K93" s="625"/>
      <c r="L93" s="625"/>
      <c r="M93" s="626"/>
      <c r="N93" s="3"/>
      <c r="O93" s="3"/>
      <c r="P93" s="3"/>
      <c r="Q93" s="37"/>
      <c r="S93"/>
      <c r="T93"/>
    </row>
    <row r="94" spans="1:20" ht="15" customHeight="1" x14ac:dyDescent="0.2">
      <c r="A94" s="116">
        <v>94</v>
      </c>
      <c r="B94" s="169"/>
      <c r="C94" s="632"/>
      <c r="D94" s="632"/>
      <c r="E94" s="434"/>
      <c r="F94" s="624"/>
      <c r="G94" s="625"/>
      <c r="H94" s="625"/>
      <c r="I94" s="626"/>
      <c r="J94" s="627"/>
      <c r="K94" s="625"/>
      <c r="L94" s="625"/>
      <c r="M94" s="626"/>
      <c r="N94" s="3"/>
      <c r="O94" s="3"/>
      <c r="P94" s="3"/>
      <c r="Q94" s="37"/>
      <c r="S94"/>
      <c r="T94"/>
    </row>
    <row r="95" spans="1:20" s="228" customFormat="1" ht="15" customHeight="1" x14ac:dyDescent="0.2">
      <c r="A95" s="116">
        <v>95</v>
      </c>
      <c r="B95" s="169"/>
      <c r="C95" s="437"/>
      <c r="D95" s="437"/>
      <c r="E95" s="434"/>
      <c r="F95" s="444" t="s">
        <v>655</v>
      </c>
      <c r="G95" s="437"/>
      <c r="H95" s="437"/>
      <c r="I95" s="434"/>
      <c r="J95" s="434"/>
      <c r="K95" s="434"/>
      <c r="L95" s="437"/>
      <c r="M95" s="434"/>
      <c r="N95" s="437"/>
      <c r="O95" s="434"/>
      <c r="P95" s="434"/>
      <c r="Q95" s="37"/>
      <c r="R95" s="217"/>
    </row>
    <row r="96" spans="1:20" s="29" customFormat="1" ht="30" customHeight="1" x14ac:dyDescent="0.3">
      <c r="A96" s="116">
        <v>96</v>
      </c>
      <c r="B96" s="169"/>
      <c r="C96" s="164" t="s">
        <v>355</v>
      </c>
      <c r="D96" s="169"/>
      <c r="E96" s="169"/>
      <c r="F96" s="169"/>
      <c r="G96" s="169"/>
      <c r="H96" s="169"/>
      <c r="I96" s="169"/>
      <c r="J96" s="169"/>
      <c r="K96" s="169"/>
      <c r="L96" s="172"/>
      <c r="M96" s="172"/>
      <c r="N96" s="172"/>
      <c r="O96" s="172"/>
      <c r="P96" s="172"/>
      <c r="Q96" s="37"/>
      <c r="R96" s="217"/>
    </row>
    <row r="97" spans="1:20" s="123" customFormat="1" ht="15" customHeight="1" thickBot="1" x14ac:dyDescent="0.25">
      <c r="A97" s="116">
        <v>97</v>
      </c>
      <c r="B97" s="169"/>
      <c r="C97" s="442"/>
      <c r="D97" s="169"/>
      <c r="E97" s="169"/>
      <c r="F97" s="169"/>
      <c r="G97" s="564" t="s">
        <v>95</v>
      </c>
      <c r="H97" s="564"/>
      <c r="I97" s="564"/>
      <c r="J97" s="564"/>
      <c r="K97" s="564"/>
      <c r="L97" s="564"/>
      <c r="M97" s="564"/>
      <c r="N97" s="564"/>
      <c r="O97" s="564"/>
      <c r="P97" s="564"/>
      <c r="Q97" s="37"/>
      <c r="R97" s="217"/>
      <c r="S97" s="631" t="s">
        <v>654</v>
      </c>
      <c r="T97" s="631"/>
    </row>
    <row r="98" spans="1:20" ht="27.75" customHeight="1" thickBot="1" x14ac:dyDescent="0.25">
      <c r="A98" s="116">
        <v>98</v>
      </c>
      <c r="B98" s="169"/>
      <c r="C98" s="169"/>
      <c r="D98" s="169"/>
      <c r="E98" s="169"/>
      <c r="F98" s="169"/>
      <c r="G98" s="436" t="s">
        <v>415</v>
      </c>
      <c r="H98" s="436" t="s">
        <v>442</v>
      </c>
      <c r="I98" s="436" t="s">
        <v>65</v>
      </c>
      <c r="J98" s="436" t="s">
        <v>236</v>
      </c>
      <c r="K98" s="436" t="s">
        <v>237</v>
      </c>
      <c r="L98" s="436" t="s">
        <v>238</v>
      </c>
      <c r="M98" s="436" t="s">
        <v>97</v>
      </c>
      <c r="N98" s="436" t="s">
        <v>416</v>
      </c>
      <c r="O98" s="436" t="s">
        <v>391</v>
      </c>
      <c r="P98" s="436" t="s">
        <v>93</v>
      </c>
      <c r="Q98" s="34"/>
      <c r="S98" s="238" t="s">
        <v>663</v>
      </c>
      <c r="T98" s="237" t="s">
        <v>664</v>
      </c>
    </row>
    <row r="99" spans="1:20" ht="15" customHeight="1" x14ac:dyDescent="0.2">
      <c r="A99" s="116">
        <v>99</v>
      </c>
      <c r="B99" s="169"/>
      <c r="C99" s="179"/>
      <c r="D99" s="169"/>
      <c r="E99" s="168" t="s">
        <v>128</v>
      </c>
      <c r="F99" s="169"/>
      <c r="G99" s="3">
        <v>13004.130661541323</v>
      </c>
      <c r="H99" s="3">
        <v>730.82271693138216</v>
      </c>
      <c r="I99" s="3">
        <v>36006.085503660383</v>
      </c>
      <c r="J99" s="3">
        <v>38023.108233664869</v>
      </c>
      <c r="K99" s="3">
        <v>48454.192056555097</v>
      </c>
      <c r="L99" s="3">
        <v>21413.769151764795</v>
      </c>
      <c r="M99" s="3">
        <v>8899.9470120743699</v>
      </c>
      <c r="N99" s="3">
        <v>5264.2752326174277</v>
      </c>
      <c r="O99" s="3">
        <v>7194</v>
      </c>
      <c r="P99" s="2">
        <f>SUM(G99:O99)</f>
        <v>178990.33056880964</v>
      </c>
      <c r="Q99" s="34"/>
      <c r="S99" s="331">
        <f>P29</f>
        <v>178989.6</v>
      </c>
      <c r="T99" s="241" t="b">
        <f>ROUND(P99,0)=ROUND(S99,0)</f>
        <v>1</v>
      </c>
    </row>
    <row r="100" spans="1:20" ht="15" customHeight="1" x14ac:dyDescent="0.2">
      <c r="A100" s="116">
        <v>100</v>
      </c>
      <c r="B100" s="169"/>
      <c r="C100" s="171"/>
      <c r="D100" s="171" t="s">
        <v>5</v>
      </c>
      <c r="E100" s="168"/>
      <c r="F100" s="169" t="s">
        <v>161</v>
      </c>
      <c r="G100" s="3">
        <v>545.98976550130283</v>
      </c>
      <c r="H100" s="3">
        <v>28.469437533999777</v>
      </c>
      <c r="I100" s="3">
        <v>1302.7400601013744</v>
      </c>
      <c r="J100" s="3">
        <v>4498.3985352302861</v>
      </c>
      <c r="K100" s="3">
        <v>1730.6752001945802</v>
      </c>
      <c r="L100" s="3">
        <v>1836.5388869181563</v>
      </c>
      <c r="M100" s="3">
        <v>238.18903711169222</v>
      </c>
      <c r="N100" s="3">
        <v>307.7556953360035</v>
      </c>
      <c r="O100" s="3">
        <v>1755.46470321775</v>
      </c>
      <c r="P100" s="2">
        <f t="shared" ref="P100:P106" si="1">SUM(G100:O100)</f>
        <v>12244.221321145145</v>
      </c>
      <c r="Q100" s="34"/>
      <c r="S100" s="331">
        <f>P31</f>
        <v>12243.756617927396</v>
      </c>
      <c r="T100" s="239" t="b">
        <f t="shared" ref="T100:T107" si="2">ROUND(P100,0)=ROUND(S100,0)</f>
        <v>1</v>
      </c>
    </row>
    <row r="101" spans="1:20" ht="15" customHeight="1" x14ac:dyDescent="0.2">
      <c r="A101" s="116">
        <v>101</v>
      </c>
      <c r="B101" s="169"/>
      <c r="C101" s="171"/>
      <c r="D101" s="171" t="s">
        <v>6</v>
      </c>
      <c r="E101" s="168"/>
      <c r="F101" s="169" t="s">
        <v>387</v>
      </c>
      <c r="G101" s="3">
        <v>143.04543727695324</v>
      </c>
      <c r="H101" s="3">
        <v>8.0390498862451309</v>
      </c>
      <c r="I101" s="3">
        <v>396.06694054026059</v>
      </c>
      <c r="J101" s="3">
        <v>418.24319057030976</v>
      </c>
      <c r="K101" s="3">
        <v>532.99611262210124</v>
      </c>
      <c r="L101" s="3">
        <v>235.5514606694106</v>
      </c>
      <c r="M101" s="3">
        <v>97.899417132817177</v>
      </c>
      <c r="N101" s="3">
        <v>57.874027558791177</v>
      </c>
      <c r="O101" s="3">
        <v>79.133999999999276</v>
      </c>
      <c r="P101" s="2">
        <f t="shared" si="1"/>
        <v>1968.8496362568881</v>
      </c>
      <c r="Q101" s="34"/>
      <c r="S101" s="331">
        <f>P33</f>
        <v>1968.8855999999819</v>
      </c>
      <c r="T101" s="239" t="b">
        <f t="shared" si="2"/>
        <v>1</v>
      </c>
    </row>
    <row r="102" spans="1:20" ht="15" customHeight="1" x14ac:dyDescent="0.2">
      <c r="A102" s="116">
        <v>102</v>
      </c>
      <c r="B102" s="169"/>
      <c r="C102" s="171"/>
      <c r="D102" s="171" t="s">
        <v>6</v>
      </c>
      <c r="E102" s="168"/>
      <c r="F102" s="169" t="s">
        <v>133</v>
      </c>
      <c r="G102" s="3">
        <v>342.92396756999983</v>
      </c>
      <c r="H102" s="3">
        <v>2406.9142074999995</v>
      </c>
      <c r="I102" s="3">
        <v>6462.2118259727695</v>
      </c>
      <c r="J102" s="3">
        <v>1588.7725906999999</v>
      </c>
      <c r="K102" s="3">
        <v>100.4455184</v>
      </c>
      <c r="L102" s="3">
        <v>1432.26995051175</v>
      </c>
      <c r="M102" s="3">
        <v>2048.9911945379999</v>
      </c>
      <c r="N102" s="3">
        <v>979.32832074325006</v>
      </c>
      <c r="O102" s="3">
        <v>15543.886719999999</v>
      </c>
      <c r="P102" s="2">
        <f t="shared" si="1"/>
        <v>30905.744295935769</v>
      </c>
      <c r="Q102" s="34"/>
      <c r="S102" s="331">
        <f>P38</f>
        <v>30905.744295935769</v>
      </c>
      <c r="T102" s="239" t="b">
        <f t="shared" si="2"/>
        <v>1</v>
      </c>
    </row>
    <row r="103" spans="1:20" ht="15" customHeight="1" x14ac:dyDescent="0.2">
      <c r="A103" s="116">
        <v>103</v>
      </c>
      <c r="B103" s="169"/>
      <c r="C103" s="171"/>
      <c r="D103" s="171" t="s">
        <v>5</v>
      </c>
      <c r="E103" s="168"/>
      <c r="F103" s="169" t="s">
        <v>134</v>
      </c>
      <c r="G103" s="3">
        <v>0</v>
      </c>
      <c r="H103" s="3">
        <v>0</v>
      </c>
      <c r="I103" s="3">
        <v>0</v>
      </c>
      <c r="J103" s="3">
        <v>0</v>
      </c>
      <c r="K103" s="3">
        <v>0</v>
      </c>
      <c r="L103" s="3">
        <v>0</v>
      </c>
      <c r="M103" s="3">
        <v>0</v>
      </c>
      <c r="N103" s="3">
        <v>0</v>
      </c>
      <c r="O103" s="3">
        <v>0</v>
      </c>
      <c r="P103" s="2">
        <f t="shared" si="1"/>
        <v>0</v>
      </c>
      <c r="Q103" s="34"/>
      <c r="S103" s="331">
        <f>P43</f>
        <v>0</v>
      </c>
      <c r="T103" s="239" t="b">
        <f t="shared" si="2"/>
        <v>1</v>
      </c>
    </row>
    <row r="104" spans="1:20" ht="15" customHeight="1" x14ac:dyDescent="0.2">
      <c r="A104" s="116">
        <v>104</v>
      </c>
      <c r="B104" s="169"/>
      <c r="C104" s="171"/>
      <c r="D104" s="171" t="s">
        <v>6</v>
      </c>
      <c r="E104" s="168"/>
      <c r="F104" s="169" t="s">
        <v>137</v>
      </c>
      <c r="G104" s="3">
        <v>0</v>
      </c>
      <c r="H104" s="3">
        <v>0</v>
      </c>
      <c r="I104" s="3">
        <v>0</v>
      </c>
      <c r="J104" s="3">
        <v>0</v>
      </c>
      <c r="K104" s="3">
        <v>0</v>
      </c>
      <c r="L104" s="3">
        <v>0</v>
      </c>
      <c r="M104" s="3">
        <v>0</v>
      </c>
      <c r="N104" s="3">
        <v>0</v>
      </c>
      <c r="O104" s="3">
        <v>0</v>
      </c>
      <c r="P104" s="2">
        <f t="shared" si="1"/>
        <v>0</v>
      </c>
      <c r="Q104" s="34"/>
      <c r="S104" s="331">
        <f>P45</f>
        <v>0</v>
      </c>
      <c r="T104" s="239" t="b">
        <f t="shared" si="2"/>
        <v>1</v>
      </c>
    </row>
    <row r="105" spans="1:20" ht="15" customHeight="1" x14ac:dyDescent="0.2">
      <c r="A105" s="116">
        <v>105</v>
      </c>
      <c r="B105" s="169"/>
      <c r="C105" s="171"/>
      <c r="D105" s="171" t="s">
        <v>6</v>
      </c>
      <c r="E105" s="168"/>
      <c r="F105" s="169" t="s">
        <v>136</v>
      </c>
      <c r="G105" s="3">
        <v>0</v>
      </c>
      <c r="H105" s="3">
        <v>0</v>
      </c>
      <c r="I105" s="3">
        <v>0</v>
      </c>
      <c r="J105" s="3">
        <v>0</v>
      </c>
      <c r="K105" s="3">
        <v>0</v>
      </c>
      <c r="L105" s="3">
        <v>0</v>
      </c>
      <c r="M105" s="3">
        <v>0</v>
      </c>
      <c r="N105" s="3">
        <v>0</v>
      </c>
      <c r="O105" s="3">
        <v>0</v>
      </c>
      <c r="P105" s="2">
        <f t="shared" si="1"/>
        <v>0</v>
      </c>
      <c r="Q105" s="34"/>
      <c r="S105" s="331">
        <f>P47</f>
        <v>0.2299018488265574</v>
      </c>
      <c r="T105" s="239" t="b">
        <f t="shared" si="2"/>
        <v>1</v>
      </c>
    </row>
    <row r="106" spans="1:20" ht="15" customHeight="1" thickBot="1" x14ac:dyDescent="0.25">
      <c r="A106" s="116">
        <v>106</v>
      </c>
      <c r="B106" s="169"/>
      <c r="C106" s="171"/>
      <c r="D106" s="171" t="s">
        <v>6</v>
      </c>
      <c r="E106" s="168"/>
      <c r="F106" s="169" t="s">
        <v>386</v>
      </c>
      <c r="G106" s="3">
        <v>0</v>
      </c>
      <c r="H106" s="3">
        <v>0</v>
      </c>
      <c r="I106" s="3">
        <v>0</v>
      </c>
      <c r="J106" s="3">
        <v>0</v>
      </c>
      <c r="K106" s="3">
        <v>0</v>
      </c>
      <c r="L106" s="3">
        <v>0</v>
      </c>
      <c r="M106" s="3">
        <v>0</v>
      </c>
      <c r="N106" s="3">
        <v>0</v>
      </c>
      <c r="O106" s="3">
        <v>0</v>
      </c>
      <c r="P106" s="2">
        <f t="shared" si="1"/>
        <v>0</v>
      </c>
      <c r="Q106" s="34"/>
      <c r="S106" s="239"/>
      <c r="T106" s="239"/>
    </row>
    <row r="107" spans="1:20" ht="15" customHeight="1" thickBot="1" x14ac:dyDescent="0.25">
      <c r="A107" s="116">
        <v>107</v>
      </c>
      <c r="B107" s="169"/>
      <c r="C107" s="179"/>
      <c r="D107" s="169"/>
      <c r="E107" s="168" t="s">
        <v>135</v>
      </c>
      <c r="F107" s="224"/>
      <c r="G107" s="427">
        <f t="shared" ref="G107:P107" si="3">G99-G100+G101+G102-G103+G104+G105+G106</f>
        <v>12944.110300886972</v>
      </c>
      <c r="H107" s="427">
        <f t="shared" si="3"/>
        <v>3117.3065367836271</v>
      </c>
      <c r="I107" s="427">
        <f t="shared" si="3"/>
        <v>41561.624210072041</v>
      </c>
      <c r="J107" s="427">
        <f t="shared" si="3"/>
        <v>35531.725479704895</v>
      </c>
      <c r="K107" s="427">
        <f t="shared" si="3"/>
        <v>47356.958487382624</v>
      </c>
      <c r="L107" s="427">
        <f t="shared" si="3"/>
        <v>21245.051676027801</v>
      </c>
      <c r="M107" s="427">
        <f t="shared" si="3"/>
        <v>10808.648586633495</v>
      </c>
      <c r="N107" s="427">
        <f t="shared" si="3"/>
        <v>5993.7218855834653</v>
      </c>
      <c r="O107" s="427">
        <f t="shared" si="3"/>
        <v>21061.556016782248</v>
      </c>
      <c r="P107" s="427">
        <f t="shared" si="3"/>
        <v>199620.70317985717</v>
      </c>
      <c r="Q107" s="34"/>
      <c r="S107" s="332">
        <f>P49</f>
        <v>199620.70317985717</v>
      </c>
      <c r="T107" s="240" t="b">
        <f t="shared" si="2"/>
        <v>1</v>
      </c>
    </row>
    <row r="108" spans="1:20" ht="15" customHeight="1" x14ac:dyDescent="0.2">
      <c r="A108" s="116">
        <v>108</v>
      </c>
      <c r="B108" s="169"/>
      <c r="C108" s="179"/>
      <c r="D108" s="169"/>
      <c r="E108" s="168"/>
      <c r="F108" s="224"/>
      <c r="G108" s="172"/>
      <c r="H108" s="172"/>
      <c r="I108" s="172"/>
      <c r="J108" s="172"/>
      <c r="K108" s="172"/>
      <c r="L108" s="172"/>
      <c r="M108" s="172"/>
      <c r="N108" s="172"/>
      <c r="O108" s="172"/>
      <c r="P108" s="172"/>
      <c r="Q108" s="34"/>
      <c r="S108" s="29"/>
      <c r="T108" s="29"/>
    </row>
    <row r="109" spans="1:20" ht="15" customHeight="1" x14ac:dyDescent="0.2">
      <c r="A109" s="116">
        <v>109</v>
      </c>
      <c r="B109" s="169"/>
      <c r="C109" s="179"/>
      <c r="D109" s="169"/>
      <c r="E109" s="168" t="s">
        <v>239</v>
      </c>
      <c r="F109" s="224"/>
      <c r="G109" s="172"/>
      <c r="H109" s="172"/>
      <c r="I109" s="172"/>
      <c r="J109" s="172"/>
      <c r="K109" s="172"/>
      <c r="L109" s="172"/>
      <c r="M109" s="172"/>
      <c r="N109" s="172"/>
      <c r="O109" s="172"/>
      <c r="P109" s="172"/>
      <c r="Q109" s="34"/>
      <c r="S109" s="29"/>
      <c r="T109" s="29"/>
    </row>
    <row r="110" spans="1:20" ht="15" customHeight="1" x14ac:dyDescent="0.2">
      <c r="A110" s="116">
        <v>110</v>
      </c>
      <c r="B110" s="169"/>
      <c r="C110" s="179"/>
      <c r="D110" s="169"/>
      <c r="E110" s="168"/>
      <c r="F110" s="169" t="s">
        <v>240</v>
      </c>
      <c r="G110" s="352">
        <v>36.461620566362257</v>
      </c>
      <c r="H110" s="352">
        <v>32.278011320153688</v>
      </c>
      <c r="I110" s="352">
        <v>34.461503524345638</v>
      </c>
      <c r="J110" s="352">
        <v>32.346136564659481</v>
      </c>
      <c r="K110" s="352">
        <v>40.375871052711908</v>
      </c>
      <c r="L110" s="352">
        <v>27.601344474515287</v>
      </c>
      <c r="M110" s="352">
        <v>35.889623224635812</v>
      </c>
      <c r="N110" s="352">
        <v>25.157551144786275</v>
      </c>
      <c r="O110" s="352">
        <v>13.200217023486699</v>
      </c>
      <c r="P110" s="179" t="s">
        <v>494</v>
      </c>
      <c r="Q110" s="34"/>
      <c r="S110" s="29"/>
      <c r="T110" s="29"/>
    </row>
    <row r="111" spans="1:20" ht="15" customHeight="1" x14ac:dyDescent="0.2">
      <c r="A111" s="116">
        <v>111</v>
      </c>
      <c r="B111" s="169"/>
      <c r="C111" s="179"/>
      <c r="D111" s="169"/>
      <c r="E111" s="169"/>
      <c r="F111" s="169" t="s">
        <v>241</v>
      </c>
      <c r="G111" s="352">
        <v>51</v>
      </c>
      <c r="H111" s="352">
        <v>45</v>
      </c>
      <c r="I111" s="352">
        <v>42.982237055274673</v>
      </c>
      <c r="J111" s="352">
        <v>53.145771082876131</v>
      </c>
      <c r="K111" s="352">
        <v>55.332342278786328</v>
      </c>
      <c r="L111" s="352">
        <v>45.000000000000007</v>
      </c>
      <c r="M111" s="352">
        <v>42.589155433191351</v>
      </c>
      <c r="N111" s="352">
        <v>34.336895391193671</v>
      </c>
      <c r="O111" s="352">
        <v>18.05753581569353</v>
      </c>
      <c r="P111" s="179" t="s">
        <v>494</v>
      </c>
      <c r="Q111" s="34"/>
      <c r="S111" s="29"/>
      <c r="T111" s="29"/>
    </row>
    <row r="112" spans="1:20" s="6" customFormat="1" x14ac:dyDescent="0.2">
      <c r="A112" s="96"/>
      <c r="B112" s="40"/>
      <c r="C112" s="40"/>
      <c r="D112" s="40"/>
      <c r="E112" s="40"/>
      <c r="F112" s="40"/>
      <c r="G112" s="40"/>
      <c r="H112" s="40"/>
      <c r="I112" s="40"/>
      <c r="J112" s="40"/>
      <c r="K112" s="40"/>
      <c r="L112" s="40"/>
      <c r="M112" s="40"/>
      <c r="N112" s="40"/>
      <c r="O112" s="40"/>
      <c r="P112" s="40"/>
      <c r="Q112" s="44"/>
      <c r="R112" s="217"/>
      <c r="S112" s="29"/>
      <c r="T112" s="29"/>
    </row>
  </sheetData>
  <sheetProtection formatRows="0" insertRows="0"/>
  <customSheetViews>
    <customSheetView guid="{21F2E024-704F-4E93-AC63-213755ECFFE0}" scale="55" showPageBreaks="1" showGridLines="0" fitToPage="1" printArea="1" view="pageBreakPreview" topLeftCell="D7">
      <selection activeCell="S12" sqref="S12"/>
      <colBreaks count="2" manualBreakCount="2">
        <brk id="3" max="1048575" man="1"/>
        <brk id="5" max="1048575" man="1"/>
      </colBreaks>
      <pageMargins left="0.70866141732283472" right="0.70866141732283472" top="0.74803149606299213" bottom="0.74803149606299213" header="0.31496062992125984" footer="0.31496062992125984"/>
      <pageSetup paperSize="9" scale="37" fitToHeight="0" orientation="portrait" cellComments="asDisplayed" r:id="rId1"/>
      <headerFooter alignWithMargins="0">
        <oddHeader>&amp;C&amp;"Arial"&amp;10 Commerce Commission Information Disclosure Template</oddHeader>
        <oddFooter>&amp;L&amp;"Arial"&amp;10 &amp;F&amp;C&amp;"Arial"&amp;10 &amp;A&amp;R&amp;"Arial"&amp;10 &amp;P</oddFooter>
      </headerFooter>
    </customSheetView>
  </customSheetViews>
  <mergeCells count="36">
    <mergeCell ref="S97:T97"/>
    <mergeCell ref="O27:P27"/>
    <mergeCell ref="O67:P67"/>
    <mergeCell ref="C93:D93"/>
    <mergeCell ref="M76:P76"/>
    <mergeCell ref="M77:N77"/>
    <mergeCell ref="C94:D94"/>
    <mergeCell ref="M58:N58"/>
    <mergeCell ref="O77:P77"/>
    <mergeCell ref="C92:D92"/>
    <mergeCell ref="M67:N67"/>
    <mergeCell ref="C87:D87"/>
    <mergeCell ref="O58:P58"/>
    <mergeCell ref="C88:D88"/>
    <mergeCell ref="L85:P85"/>
    <mergeCell ref="F87:I87"/>
    <mergeCell ref="N2:P2"/>
    <mergeCell ref="N3:P3"/>
    <mergeCell ref="A5:Q5"/>
    <mergeCell ref="C50:P50"/>
    <mergeCell ref="M27:N27"/>
    <mergeCell ref="F93:I93"/>
    <mergeCell ref="F94:I94"/>
    <mergeCell ref="J87:M87"/>
    <mergeCell ref="J88:M88"/>
    <mergeCell ref="J89:M89"/>
    <mergeCell ref="J90:M90"/>
    <mergeCell ref="J91:M91"/>
    <mergeCell ref="J92:M92"/>
    <mergeCell ref="J93:M93"/>
    <mergeCell ref="J94:M94"/>
    <mergeCell ref="F88:I88"/>
    <mergeCell ref="F89:I89"/>
    <mergeCell ref="F90:I90"/>
    <mergeCell ref="F91:I91"/>
    <mergeCell ref="F92:I92"/>
  </mergeCells>
  <conditionalFormatting sqref="P99">
    <cfRule type="expression" dxfId="19" priority="8" stopIfTrue="1">
      <formula>$T$99&lt;&gt;TRUE</formula>
    </cfRule>
  </conditionalFormatting>
  <conditionalFormatting sqref="P100">
    <cfRule type="expression" dxfId="18" priority="7" stopIfTrue="1">
      <formula>$T$100&lt;&gt;TRUE</formula>
    </cfRule>
  </conditionalFormatting>
  <conditionalFormatting sqref="P101">
    <cfRule type="expression" dxfId="17" priority="6" stopIfTrue="1">
      <formula>$T$101&lt;&gt;TRUE</formula>
    </cfRule>
  </conditionalFormatting>
  <conditionalFormatting sqref="P102">
    <cfRule type="expression" dxfId="16" priority="5" stopIfTrue="1">
      <formula>$T$102&lt;&gt;TRUE</formula>
    </cfRule>
  </conditionalFormatting>
  <conditionalFormatting sqref="P103">
    <cfRule type="expression" dxfId="15" priority="4" stopIfTrue="1">
      <formula>$T$103&lt;&gt;TRUE</formula>
    </cfRule>
  </conditionalFormatting>
  <conditionalFormatting sqref="P104">
    <cfRule type="expression" dxfId="14" priority="3" stopIfTrue="1">
      <formula>$T$104&lt;&gt;TRUE</formula>
    </cfRule>
  </conditionalFormatting>
  <conditionalFormatting sqref="P105">
    <cfRule type="expression" dxfId="13" priority="2" stopIfTrue="1">
      <formula>$T$105&lt;&gt;TRUE</formula>
    </cfRule>
  </conditionalFormatting>
  <conditionalFormatting sqref="P107">
    <cfRule type="expression" dxfId="12" priority="1" stopIfTrue="1">
      <formula>$T$107&lt;&gt;TRUE</formula>
    </cfRule>
  </conditionalFormatting>
  <dataValidations count="2">
    <dataValidation allowBlank="1" showInputMessage="1" showErrorMessage="1" prompt="Please enter text" sqref="J87:J94 F87:F94"/>
    <dataValidation allowBlank="1" showErrorMessage="1" sqref="F95:P95"/>
  </dataValidations>
  <pageMargins left="0.70866141732283472" right="0.70866141732283472" top="0.74803149606299213" bottom="0.74803149606299213" header="0.31496062992125984" footer="0.31496062992125984"/>
  <pageSetup paperSize="9" scale="55" fitToHeight="3" orientation="landscape" r:id="rId2"/>
  <headerFooter alignWithMargins="0">
    <oddHeader>&amp;CCommerce Commission Information Disclosure Template</oddHeader>
    <oddFooter>&amp;L&amp;F&amp;C&amp;P&amp;R&amp;A</oddFooter>
  </headerFooter>
  <rowBreaks count="2" manualBreakCount="2">
    <brk id="50" max="16" man="1"/>
    <brk id="75"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9CCFF"/>
    <pageSetUpPr fitToPage="1"/>
  </sheetPr>
  <dimension ref="A1:N91"/>
  <sheetViews>
    <sheetView showGridLines="0" zoomScaleNormal="100" zoomScaleSheetLayoutView="100" workbookViewId="0"/>
  </sheetViews>
  <sheetFormatPr defaultColWidth="9.140625" defaultRowHeight="12.75" x14ac:dyDescent="0.2"/>
  <cols>
    <col min="1" max="1" width="5" style="29" customWidth="1"/>
    <col min="2" max="2" width="3.140625" style="29" customWidth="1"/>
    <col min="3" max="3" width="6.140625" style="29" customWidth="1"/>
    <col min="4" max="5" width="2.28515625" style="29" customWidth="1"/>
    <col min="6" max="6" width="62.42578125" style="29" customWidth="1"/>
    <col min="7" max="7" width="22.42578125" style="29" customWidth="1"/>
    <col min="8" max="8" width="6.5703125" style="29" customWidth="1"/>
    <col min="9" max="10" width="16.140625" style="29" customWidth="1"/>
    <col min="11" max="11" width="2.7109375" style="29" customWidth="1"/>
    <col min="12" max="12" width="14.140625" style="214" customWidth="1"/>
    <col min="13" max="13" width="25" style="29" bestFit="1" customWidth="1"/>
    <col min="14" max="16384" width="9.140625" style="29"/>
  </cols>
  <sheetData>
    <row r="1" spans="1:13" s="33" customFormat="1" ht="15" customHeight="1" x14ac:dyDescent="0.2">
      <c r="A1" s="554"/>
      <c r="B1" s="546"/>
      <c r="C1" s="546"/>
      <c r="D1" s="546"/>
      <c r="E1" s="546"/>
      <c r="F1" s="546"/>
      <c r="G1" s="546"/>
      <c r="H1" s="546"/>
      <c r="I1" s="546"/>
      <c r="J1" s="546"/>
      <c r="K1" s="547"/>
      <c r="L1" s="214"/>
      <c r="M1" s="29"/>
    </row>
    <row r="2" spans="1:13" s="33" customFormat="1" ht="18" customHeight="1" x14ac:dyDescent="0.3">
      <c r="A2" s="48"/>
      <c r="B2" s="49"/>
      <c r="C2" s="49"/>
      <c r="D2" s="73"/>
      <c r="E2" s="449"/>
      <c r="F2" s="449"/>
      <c r="G2" s="94" t="s">
        <v>8</v>
      </c>
      <c r="H2" s="614" t="str">
        <f>IF(NOT(ISBLANK(CoverSheet!$C$8)),CoverSheet!$C$8,"")</f>
        <v>Alpine Energy Limited</v>
      </c>
      <c r="I2" s="615"/>
      <c r="J2" s="616"/>
      <c r="K2" s="52"/>
      <c r="L2" s="214"/>
      <c r="M2" s="29"/>
    </row>
    <row r="3" spans="1:13" s="33" customFormat="1" ht="18" customHeight="1" x14ac:dyDescent="0.3">
      <c r="A3" s="48"/>
      <c r="B3" s="49"/>
      <c r="C3" s="49"/>
      <c r="D3" s="73"/>
      <c r="E3" s="449"/>
      <c r="F3" s="449"/>
      <c r="G3" s="94" t="s">
        <v>393</v>
      </c>
      <c r="H3" s="612">
        <f>IF(ISNUMBER(CoverSheet!$C$12),CoverSheet!$C$12,"")</f>
        <v>43190</v>
      </c>
      <c r="I3" s="612"/>
      <c r="J3" s="612"/>
      <c r="K3" s="52"/>
      <c r="L3"/>
      <c r="M3" s="29"/>
    </row>
    <row r="4" spans="1:13" s="33" customFormat="1" ht="20.25" customHeight="1" x14ac:dyDescent="0.35">
      <c r="A4" s="545" t="s">
        <v>344</v>
      </c>
      <c r="B4" s="60"/>
      <c r="C4" s="49"/>
      <c r="D4" s="49"/>
      <c r="E4" s="49"/>
      <c r="F4" s="49"/>
      <c r="G4" s="49"/>
      <c r="H4" s="49"/>
      <c r="I4" s="49"/>
      <c r="J4" s="49"/>
      <c r="K4" s="52"/>
      <c r="L4"/>
      <c r="M4" s="29"/>
    </row>
    <row r="5" spans="1:13" ht="45" customHeight="1" x14ac:dyDescent="0.2">
      <c r="A5" s="637" t="s">
        <v>545</v>
      </c>
      <c r="B5" s="638"/>
      <c r="C5" s="638"/>
      <c r="D5" s="638"/>
      <c r="E5" s="638"/>
      <c r="F5" s="638"/>
      <c r="G5" s="638"/>
      <c r="H5" s="638"/>
      <c r="I5" s="638"/>
      <c r="J5" s="638"/>
      <c r="K5" s="95"/>
      <c r="L5"/>
      <c r="M5" s="33"/>
    </row>
    <row r="6" spans="1:13" s="33" customFormat="1" ht="15" customHeight="1" x14ac:dyDescent="0.2">
      <c r="A6" s="87" t="s">
        <v>623</v>
      </c>
      <c r="B6" s="452"/>
      <c r="C6" s="53"/>
      <c r="D6" s="49"/>
      <c r="E6" s="49"/>
      <c r="F6" s="49"/>
      <c r="G6" s="49"/>
      <c r="H6" s="49"/>
      <c r="I6" s="49"/>
      <c r="J6" s="49"/>
      <c r="K6" s="52"/>
      <c r="L6" s="214"/>
      <c r="M6" s="29"/>
    </row>
    <row r="7" spans="1:13" ht="30" customHeight="1" x14ac:dyDescent="0.3">
      <c r="A7" s="116">
        <v>7</v>
      </c>
      <c r="B7" s="451"/>
      <c r="C7" s="142" t="s">
        <v>345</v>
      </c>
      <c r="D7" s="451"/>
      <c r="E7" s="144"/>
      <c r="F7" s="144"/>
      <c r="G7" s="451"/>
      <c r="H7" s="451"/>
      <c r="I7" s="451"/>
      <c r="J7" s="445" t="s">
        <v>127</v>
      </c>
      <c r="K7" s="37"/>
      <c r="L7" s="215"/>
    </row>
    <row r="8" spans="1:13" ht="15" customHeight="1" x14ac:dyDescent="0.2">
      <c r="A8" s="116">
        <v>8</v>
      </c>
      <c r="B8" s="451"/>
      <c r="C8" s="451"/>
      <c r="D8" s="143"/>
      <c r="E8" s="117" t="s">
        <v>174</v>
      </c>
      <c r="F8" s="144"/>
      <c r="G8" s="143"/>
      <c r="H8" s="143"/>
      <c r="I8" s="451"/>
      <c r="J8" s="333">
        <f>'S3.Regulatory Profit'!T25</f>
        <v>15052.698642072586</v>
      </c>
      <c r="K8" s="37"/>
      <c r="L8" s="214" t="s">
        <v>580</v>
      </c>
    </row>
    <row r="9" spans="1:13" x14ac:dyDescent="0.2">
      <c r="A9" s="116">
        <v>9</v>
      </c>
      <c r="B9" s="451"/>
      <c r="C9" s="451"/>
      <c r="D9" s="451"/>
      <c r="E9" s="117"/>
      <c r="F9" s="144"/>
      <c r="G9" s="451"/>
      <c r="H9" s="451"/>
      <c r="I9" s="451"/>
      <c r="J9" s="451"/>
      <c r="K9" s="37"/>
    </row>
    <row r="10" spans="1:13" ht="15" customHeight="1" x14ac:dyDescent="0.2">
      <c r="A10" s="116">
        <v>10</v>
      </c>
      <c r="B10" s="451"/>
      <c r="C10" s="62"/>
      <c r="D10" s="55" t="s">
        <v>6</v>
      </c>
      <c r="E10" s="117"/>
      <c r="F10" s="144" t="s">
        <v>175</v>
      </c>
      <c r="G10" s="36"/>
      <c r="H10" s="36"/>
      <c r="I10" s="3">
        <v>0</v>
      </c>
      <c r="J10" s="329" t="s">
        <v>176</v>
      </c>
      <c r="K10" s="37"/>
    </row>
    <row r="11" spans="1:13" ht="15" customHeight="1" x14ac:dyDescent="0.2">
      <c r="A11" s="116">
        <v>11</v>
      </c>
      <c r="B11" s="451"/>
      <c r="C11" s="451"/>
      <c r="D11" s="55"/>
      <c r="E11" s="117"/>
      <c r="F11" s="144" t="s">
        <v>177</v>
      </c>
      <c r="G11" s="36"/>
      <c r="H11" s="36"/>
      <c r="I11" s="3">
        <v>96.610529999999997</v>
      </c>
      <c r="J11" s="329" t="s">
        <v>176</v>
      </c>
      <c r="K11" s="37"/>
    </row>
    <row r="12" spans="1:13" ht="15" customHeight="1" x14ac:dyDescent="0.2">
      <c r="A12" s="116">
        <v>12</v>
      </c>
      <c r="B12" s="451"/>
      <c r="C12" s="451"/>
      <c r="D12" s="55"/>
      <c r="E12" s="117"/>
      <c r="F12" s="144" t="s">
        <v>178</v>
      </c>
      <c r="G12" s="36"/>
      <c r="H12" s="36"/>
      <c r="I12" s="334">
        <f>I37</f>
        <v>2756.1747845868776</v>
      </c>
      <c r="J12" s="451"/>
      <c r="K12" s="37"/>
      <c r="L12" s="214" t="s">
        <v>589</v>
      </c>
    </row>
    <row r="13" spans="1:13" ht="15" customHeight="1" x14ac:dyDescent="0.2">
      <c r="A13" s="116">
        <v>13</v>
      </c>
      <c r="B13" s="451"/>
      <c r="C13" s="451"/>
      <c r="D13" s="55"/>
      <c r="E13" s="117"/>
      <c r="F13" s="144" t="s">
        <v>179</v>
      </c>
      <c r="G13" s="36"/>
      <c r="H13" s="36"/>
      <c r="I13" s="334">
        <f>J50</f>
        <v>1038.7214286785529</v>
      </c>
      <c r="J13" s="451"/>
      <c r="K13" s="37"/>
      <c r="L13" s="214" t="s">
        <v>900</v>
      </c>
    </row>
    <row r="14" spans="1:13" ht="15" customHeight="1" x14ac:dyDescent="0.2">
      <c r="A14" s="116">
        <v>14</v>
      </c>
      <c r="B14" s="451"/>
      <c r="C14" s="451"/>
      <c r="D14" s="55"/>
      <c r="E14" s="117"/>
      <c r="F14" s="144"/>
      <c r="G14" s="451"/>
      <c r="H14" s="451"/>
      <c r="I14" s="451"/>
      <c r="J14" s="1">
        <f>SUM(I10:I13)</f>
        <v>3891.5067432654305</v>
      </c>
      <c r="K14" s="37"/>
    </row>
    <row r="15" spans="1:13" x14ac:dyDescent="0.2">
      <c r="A15" s="116">
        <v>15</v>
      </c>
      <c r="B15" s="451"/>
      <c r="C15" s="451"/>
      <c r="D15" s="55"/>
      <c r="E15" s="117"/>
      <c r="F15" s="144"/>
      <c r="G15" s="451"/>
      <c r="H15" s="451"/>
      <c r="I15" s="451"/>
      <c r="J15" s="451"/>
      <c r="K15" s="37"/>
    </row>
    <row r="16" spans="1:13" ht="15" customHeight="1" x14ac:dyDescent="0.2">
      <c r="A16" s="116">
        <v>16</v>
      </c>
      <c r="B16" s="451"/>
      <c r="C16" s="62"/>
      <c r="D16" s="55" t="s">
        <v>5</v>
      </c>
      <c r="E16" s="117"/>
      <c r="F16" s="287" t="s">
        <v>387</v>
      </c>
      <c r="G16" s="36"/>
      <c r="H16" s="36"/>
      <c r="I16" s="455">
        <f>'S3.Regulatory Profit'!T23</f>
        <v>1968.8855999999819</v>
      </c>
      <c r="J16" s="451"/>
      <c r="K16" s="37"/>
      <c r="L16" s="214" t="s">
        <v>580</v>
      </c>
      <c r="M16" s="256"/>
    </row>
    <row r="17" spans="1:14" s="250" customFormat="1" ht="15" customHeight="1" x14ac:dyDescent="0.2">
      <c r="A17" s="116">
        <v>17</v>
      </c>
      <c r="B17" s="451"/>
      <c r="C17" s="62"/>
      <c r="D17" s="55"/>
      <c r="E17" s="117"/>
      <c r="F17" s="287" t="s">
        <v>897</v>
      </c>
      <c r="G17" s="36"/>
      <c r="H17" s="36"/>
      <c r="I17" s="3">
        <v>200</v>
      </c>
      <c r="J17" s="329" t="s">
        <v>176</v>
      </c>
      <c r="K17" s="37"/>
      <c r="L17" s="214"/>
      <c r="M17" s="256"/>
    </row>
    <row r="18" spans="1:14" ht="15" customHeight="1" x14ac:dyDescent="0.2">
      <c r="A18" s="116">
        <v>18</v>
      </c>
      <c r="B18" s="451"/>
      <c r="C18" s="62"/>
      <c r="D18" s="55"/>
      <c r="E18" s="117"/>
      <c r="F18" s="144" t="s">
        <v>736</v>
      </c>
      <c r="G18" s="36"/>
      <c r="H18" s="36"/>
      <c r="I18" s="3">
        <v>0</v>
      </c>
      <c r="J18" s="451"/>
      <c r="K18" s="37"/>
    </row>
    <row r="19" spans="1:14" ht="15" customHeight="1" x14ac:dyDescent="0.2">
      <c r="A19" s="116">
        <v>19</v>
      </c>
      <c r="B19" s="451"/>
      <c r="C19" s="451"/>
      <c r="D19" s="55"/>
      <c r="E19" s="117"/>
      <c r="F19" s="287" t="s">
        <v>791</v>
      </c>
      <c r="G19" s="290"/>
      <c r="H19" s="36"/>
      <c r="I19" s="3">
        <v>0</v>
      </c>
      <c r="J19" s="329" t="s">
        <v>176</v>
      </c>
      <c r="K19" s="37"/>
    </row>
    <row r="20" spans="1:14" ht="15" customHeight="1" x14ac:dyDescent="0.2">
      <c r="A20" s="116">
        <v>20</v>
      </c>
      <c r="B20" s="451"/>
      <c r="C20" s="451"/>
      <c r="D20" s="55"/>
      <c r="E20" s="117"/>
      <c r="F20" s="144" t="s">
        <v>180</v>
      </c>
      <c r="G20" s="36"/>
      <c r="H20" s="36"/>
      <c r="I20" s="334">
        <f>(('S2.Return on Investment'!M55*'S2.Return on Investment'!M56*'S2.Return on Investment'!L34)+'S5c.TCSD Allowance'!I27)/SQRT(1+'S2.Return on Investment'!M56)</f>
        <v>3585.6635922024871</v>
      </c>
      <c r="J20" s="451"/>
      <c r="K20" s="37"/>
      <c r="L20" s="214" t="s">
        <v>761</v>
      </c>
      <c r="N20"/>
    </row>
    <row r="21" spans="1:14" ht="15" customHeight="1" x14ac:dyDescent="0.2">
      <c r="A21" s="116">
        <v>21</v>
      </c>
      <c r="B21" s="451"/>
      <c r="C21" s="451"/>
      <c r="D21" s="55"/>
      <c r="E21" s="117"/>
      <c r="F21" s="144"/>
      <c r="G21" s="451"/>
      <c r="H21" s="451"/>
      <c r="I21" s="451"/>
      <c r="J21" s="335">
        <f>SUM(I16:I20)</f>
        <v>5754.5491922024685</v>
      </c>
      <c r="K21" s="37"/>
      <c r="N21"/>
    </row>
    <row r="22" spans="1:14" ht="13.5" thickBot="1" x14ac:dyDescent="0.25">
      <c r="A22" s="116">
        <v>22</v>
      </c>
      <c r="B22" s="451"/>
      <c r="C22" s="451"/>
      <c r="D22" s="55"/>
      <c r="E22" s="117"/>
      <c r="F22" s="144"/>
      <c r="G22" s="451"/>
      <c r="H22" s="451"/>
      <c r="I22" s="451"/>
      <c r="J22" s="451"/>
      <c r="K22" s="37"/>
    </row>
    <row r="23" spans="1:14" ht="15" customHeight="1" thickBot="1" x14ac:dyDescent="0.25">
      <c r="A23" s="116">
        <v>23</v>
      </c>
      <c r="B23" s="451"/>
      <c r="C23" s="451"/>
      <c r="D23" s="55"/>
      <c r="E23" s="117" t="s">
        <v>181</v>
      </c>
      <c r="F23" s="144"/>
      <c r="G23" s="451"/>
      <c r="H23" s="451"/>
      <c r="I23" s="451"/>
      <c r="J23" s="457">
        <f>J8+J14-J21</f>
        <v>13189.656193135548</v>
      </c>
      <c r="K23" s="37"/>
    </row>
    <row r="24" spans="1:14" x14ac:dyDescent="0.2">
      <c r="A24" s="116">
        <v>24</v>
      </c>
      <c r="B24" s="451"/>
      <c r="C24" s="451"/>
      <c r="D24" s="55"/>
      <c r="E24" s="117"/>
      <c r="F24" s="144"/>
      <c r="G24" s="451"/>
      <c r="H24" s="451"/>
      <c r="I24" s="451"/>
      <c r="J24" s="451"/>
      <c r="K24" s="37"/>
    </row>
    <row r="25" spans="1:14" ht="15" customHeight="1" x14ac:dyDescent="0.2">
      <c r="A25" s="116">
        <v>25</v>
      </c>
      <c r="B25" s="451"/>
      <c r="C25" s="62"/>
      <c r="D25" s="55" t="s">
        <v>5</v>
      </c>
      <c r="E25" s="117"/>
      <c r="F25" s="144" t="s">
        <v>182</v>
      </c>
      <c r="G25" s="36"/>
      <c r="H25" s="36"/>
      <c r="I25" s="3">
        <v>0</v>
      </c>
      <c r="J25" s="451"/>
      <c r="K25" s="37" t="s">
        <v>7</v>
      </c>
    </row>
    <row r="26" spans="1:14" ht="15" customHeight="1" x14ac:dyDescent="0.2">
      <c r="A26" s="116">
        <v>26</v>
      </c>
      <c r="B26" s="451"/>
      <c r="C26" s="451"/>
      <c r="D26" s="451"/>
      <c r="E26" s="117"/>
      <c r="F26" s="144" t="s">
        <v>183</v>
      </c>
      <c r="G26" s="36"/>
      <c r="H26" s="36"/>
      <c r="I26" s="451"/>
      <c r="J26" s="455">
        <f>IF(J23&lt;0,0,MAX(J23-I25,0))</f>
        <v>13189.656193135548</v>
      </c>
      <c r="K26" s="37" t="s">
        <v>7</v>
      </c>
    </row>
    <row r="27" spans="1:14" x14ac:dyDescent="0.2">
      <c r="A27" s="116">
        <v>27</v>
      </c>
      <c r="B27" s="451"/>
      <c r="C27" s="451"/>
      <c r="D27" s="451"/>
      <c r="E27" s="117"/>
      <c r="F27" s="144"/>
      <c r="G27" s="451"/>
      <c r="H27" s="451"/>
      <c r="I27" s="451"/>
      <c r="J27" s="451"/>
      <c r="K27" s="37"/>
    </row>
    <row r="28" spans="1:14" ht="15" customHeight="1" thickBot="1" x14ac:dyDescent="0.25">
      <c r="A28" s="116">
        <v>28</v>
      </c>
      <c r="B28" s="451"/>
      <c r="C28" s="451"/>
      <c r="D28" s="36"/>
      <c r="E28" s="144"/>
      <c r="F28" s="144" t="s">
        <v>142</v>
      </c>
      <c r="G28" s="36"/>
      <c r="H28" s="36"/>
      <c r="I28" s="458">
        <v>0.28000000000000003</v>
      </c>
      <c r="J28" s="451"/>
      <c r="K28" s="37"/>
      <c r="L28" s="214" t="s">
        <v>605</v>
      </c>
    </row>
    <row r="29" spans="1:14" ht="15" customHeight="1" thickBot="1" x14ac:dyDescent="0.25">
      <c r="A29" s="116">
        <v>29</v>
      </c>
      <c r="B29" s="451"/>
      <c r="C29" s="451"/>
      <c r="D29" s="451"/>
      <c r="E29" s="120" t="s">
        <v>132</v>
      </c>
      <c r="F29" s="120"/>
      <c r="G29" s="451"/>
      <c r="H29" s="451"/>
      <c r="I29" s="451"/>
      <c r="J29" s="457">
        <f>IF(J26&lt;0,0,J26*I28)</f>
        <v>3693.103734077954</v>
      </c>
      <c r="K29" s="37" t="s">
        <v>7</v>
      </c>
      <c r="L29" s="214" t="s">
        <v>609</v>
      </c>
    </row>
    <row r="30" spans="1:14" ht="15" customHeight="1" x14ac:dyDescent="0.2">
      <c r="A30" s="116">
        <v>30</v>
      </c>
      <c r="B30" s="451"/>
      <c r="C30" s="451"/>
      <c r="D30" s="451"/>
      <c r="E30" s="144"/>
      <c r="F30" s="144"/>
      <c r="G30" s="451"/>
      <c r="H30" s="451"/>
      <c r="I30" s="451"/>
      <c r="J30" s="441"/>
      <c r="K30" s="37"/>
    </row>
    <row r="31" spans="1:14" ht="15" customHeight="1" x14ac:dyDescent="0.2">
      <c r="A31" s="116">
        <v>31</v>
      </c>
      <c r="B31" s="74"/>
      <c r="C31" s="74" t="s">
        <v>381</v>
      </c>
      <c r="D31" s="451"/>
      <c r="E31" s="144"/>
      <c r="F31" s="144"/>
      <c r="G31" s="451"/>
      <c r="H31" s="451"/>
      <c r="I31" s="451"/>
      <c r="J31" s="451"/>
      <c r="K31" s="34"/>
      <c r="L31" s="217"/>
      <c r="M31" s="485"/>
    </row>
    <row r="32" spans="1:14" ht="30" customHeight="1" x14ac:dyDescent="0.3">
      <c r="A32" s="116">
        <v>32</v>
      </c>
      <c r="B32" s="451"/>
      <c r="C32" s="142" t="s">
        <v>346</v>
      </c>
      <c r="D32" s="451"/>
      <c r="E32" s="144"/>
      <c r="F32" s="144"/>
      <c r="G32" s="451"/>
      <c r="H32" s="451"/>
      <c r="I32" s="451"/>
      <c r="J32" s="68"/>
      <c r="K32" s="37"/>
      <c r="L32" s="260"/>
      <c r="M32" s="114"/>
    </row>
    <row r="33" spans="1:14" ht="15" customHeight="1" x14ac:dyDescent="0.2">
      <c r="A33" s="116">
        <v>33</v>
      </c>
      <c r="B33" s="451"/>
      <c r="C33" s="451"/>
      <c r="D33" s="143"/>
      <c r="E33" s="144"/>
      <c r="F33" s="287" t="s">
        <v>632</v>
      </c>
      <c r="G33" s="312"/>
      <c r="H33" s="312"/>
      <c r="I33" s="312"/>
      <c r="J33" s="143"/>
      <c r="K33" s="37"/>
    </row>
    <row r="34" spans="1:14" ht="30" customHeight="1" x14ac:dyDescent="0.3">
      <c r="A34" s="116">
        <v>34</v>
      </c>
      <c r="B34" s="451"/>
      <c r="C34" s="142" t="s">
        <v>347</v>
      </c>
      <c r="D34" s="451"/>
      <c r="E34" s="144"/>
      <c r="F34" s="144"/>
      <c r="G34" s="451"/>
      <c r="H34" s="451"/>
      <c r="I34" s="451"/>
      <c r="J34" s="445" t="s">
        <v>127</v>
      </c>
      <c r="K34" s="37"/>
      <c r="L34" s="215"/>
    </row>
    <row r="35" spans="1:14" x14ac:dyDescent="0.2">
      <c r="A35" s="116">
        <v>35</v>
      </c>
      <c r="B35" s="451"/>
      <c r="C35" s="451"/>
      <c r="D35" s="451"/>
      <c r="E35" s="144"/>
      <c r="F35" s="144"/>
      <c r="G35" s="451"/>
      <c r="H35" s="75"/>
      <c r="I35" s="75"/>
      <c r="J35" s="66"/>
      <c r="K35" s="37"/>
    </row>
    <row r="36" spans="1:14" ht="15" customHeight="1" x14ac:dyDescent="0.2">
      <c r="A36" s="116">
        <v>36</v>
      </c>
      <c r="B36" s="451"/>
      <c r="C36" s="451"/>
      <c r="D36" s="451"/>
      <c r="E36" s="144"/>
      <c r="F36" s="144" t="s">
        <v>184</v>
      </c>
      <c r="G36" s="451"/>
      <c r="H36" s="75"/>
      <c r="I36" s="3">
        <v>46854.971337976924</v>
      </c>
      <c r="J36" s="75"/>
      <c r="K36" s="37"/>
      <c r="L36" s="258"/>
      <c r="M36" s="536"/>
    </row>
    <row r="37" spans="1:14" ht="15" customHeight="1" x14ac:dyDescent="0.2">
      <c r="A37" s="116">
        <v>37</v>
      </c>
      <c r="B37" s="451"/>
      <c r="C37" s="62"/>
      <c r="D37" s="55" t="s">
        <v>5</v>
      </c>
      <c r="E37" s="144"/>
      <c r="F37" s="144" t="s">
        <v>178</v>
      </c>
      <c r="G37" s="451"/>
      <c r="H37" s="75"/>
      <c r="I37" s="334">
        <f>IF(I36=0,0,I36/J42)</f>
        <v>2756.1747845868776</v>
      </c>
      <c r="J37" s="75"/>
      <c r="K37" s="37"/>
      <c r="L37" s="214" t="s">
        <v>590</v>
      </c>
    </row>
    <row r="38" spans="1:14" ht="15" customHeight="1" x14ac:dyDescent="0.2">
      <c r="A38" s="116">
        <v>38</v>
      </c>
      <c r="B38" s="451"/>
      <c r="C38" s="62"/>
      <c r="D38" s="55" t="s">
        <v>6</v>
      </c>
      <c r="E38" s="144"/>
      <c r="F38" s="144" t="s">
        <v>185</v>
      </c>
      <c r="G38" s="451"/>
      <c r="H38" s="75"/>
      <c r="I38" s="3">
        <v>0</v>
      </c>
      <c r="J38" s="75"/>
      <c r="K38" s="37"/>
    </row>
    <row r="39" spans="1:14" ht="15" customHeight="1" x14ac:dyDescent="0.2">
      <c r="A39" s="116">
        <v>39</v>
      </c>
      <c r="B39" s="451"/>
      <c r="C39" s="62"/>
      <c r="D39" s="55" t="s">
        <v>5</v>
      </c>
      <c r="E39" s="144"/>
      <c r="F39" s="144" t="s">
        <v>186</v>
      </c>
      <c r="G39" s="451"/>
      <c r="H39" s="75"/>
      <c r="I39" s="3">
        <v>0</v>
      </c>
      <c r="J39" s="75"/>
      <c r="K39" s="37"/>
    </row>
    <row r="40" spans="1:14" ht="15" customHeight="1" x14ac:dyDescent="0.2">
      <c r="A40" s="116">
        <v>40</v>
      </c>
      <c r="B40" s="451"/>
      <c r="C40" s="62"/>
      <c r="D40" s="143"/>
      <c r="E40" s="144"/>
      <c r="F40" s="287" t="s">
        <v>622</v>
      </c>
      <c r="G40" s="451"/>
      <c r="H40" s="75"/>
      <c r="I40" s="75"/>
      <c r="J40" s="334">
        <f>I36-I37+I38-I39</f>
        <v>44098.796553390042</v>
      </c>
      <c r="K40" s="37"/>
    </row>
    <row r="41" spans="1:14" ht="12.75" customHeight="1" x14ac:dyDescent="0.2">
      <c r="A41" s="116">
        <v>41</v>
      </c>
      <c r="B41" s="451"/>
      <c r="C41" s="451"/>
      <c r="D41" s="451"/>
      <c r="E41" s="144"/>
      <c r="F41" s="144"/>
      <c r="G41" s="451"/>
      <c r="H41" s="75"/>
      <c r="I41" s="75"/>
      <c r="J41" s="451"/>
      <c r="K41" s="37"/>
    </row>
    <row r="42" spans="1:14" ht="15" customHeight="1" x14ac:dyDescent="0.2">
      <c r="A42" s="116">
        <v>42</v>
      </c>
      <c r="B42" s="451"/>
      <c r="C42" s="451"/>
      <c r="D42" s="451"/>
      <c r="E42" s="144"/>
      <c r="F42" s="287" t="s">
        <v>747</v>
      </c>
      <c r="G42" s="451"/>
      <c r="H42" s="75"/>
      <c r="I42" s="75"/>
      <c r="J42" s="3">
        <v>17</v>
      </c>
      <c r="K42" s="37"/>
    </row>
    <row r="43" spans="1:14" x14ac:dyDescent="0.2">
      <c r="A43" s="116">
        <v>43</v>
      </c>
      <c r="B43" s="535"/>
      <c r="C43" s="535"/>
      <c r="D43" s="535"/>
      <c r="E43" s="144"/>
      <c r="F43" s="144"/>
      <c r="G43" s="535"/>
      <c r="H43" s="75"/>
      <c r="I43" s="75"/>
      <c r="J43" s="535"/>
      <c r="K43" s="37"/>
      <c r="M43" s="269"/>
      <c r="N43" s="269"/>
    </row>
    <row r="44" spans="1:14" ht="20.100000000000001" customHeight="1" x14ac:dyDescent="0.3">
      <c r="A44" s="116">
        <v>44</v>
      </c>
      <c r="B44" s="451"/>
      <c r="C44" s="142" t="s">
        <v>348</v>
      </c>
      <c r="D44" s="451"/>
      <c r="E44" s="144"/>
      <c r="F44" s="144"/>
      <c r="G44" s="451"/>
      <c r="H44" s="451"/>
      <c r="I44" s="451"/>
      <c r="J44" s="341" t="s">
        <v>127</v>
      </c>
      <c r="K44" s="37"/>
      <c r="L44" s="215"/>
    </row>
    <row r="45" spans="1:14" ht="15" customHeight="1" x14ac:dyDescent="0.3">
      <c r="A45" s="116">
        <v>45</v>
      </c>
      <c r="B45" s="451"/>
      <c r="C45" s="142"/>
      <c r="D45" s="441"/>
      <c r="E45" s="441"/>
      <c r="F45" s="451"/>
      <c r="G45" s="451"/>
      <c r="H45" s="146"/>
      <c r="I45" s="66"/>
      <c r="J45" s="56"/>
      <c r="K45" s="37"/>
      <c r="L45" s="215"/>
    </row>
    <row r="46" spans="1:14" ht="12.75" customHeight="1" x14ac:dyDescent="0.3">
      <c r="A46" s="116">
        <v>46</v>
      </c>
      <c r="B46" s="451"/>
      <c r="C46" s="142"/>
      <c r="D46" s="90"/>
      <c r="E46" s="90"/>
      <c r="F46" s="128" t="s">
        <v>899</v>
      </c>
      <c r="G46" s="451"/>
      <c r="H46" s="75"/>
      <c r="I46" s="484">
        <v>183783.17921349435</v>
      </c>
      <c r="J46" s="56"/>
      <c r="K46" s="37"/>
      <c r="L46" s="215"/>
    </row>
    <row r="47" spans="1:14" ht="15" customHeight="1" x14ac:dyDescent="0.3">
      <c r="A47" s="116">
        <v>47</v>
      </c>
      <c r="B47" s="451"/>
      <c r="C47" s="142"/>
      <c r="D47" s="91"/>
      <c r="E47" s="91"/>
      <c r="F47" s="451"/>
      <c r="G47" s="451"/>
      <c r="H47" s="451"/>
      <c r="I47" s="451"/>
      <c r="J47" s="451"/>
      <c r="K47" s="37"/>
    </row>
    <row r="48" spans="1:14" ht="15" customHeight="1" x14ac:dyDescent="0.2">
      <c r="A48" s="116">
        <v>48</v>
      </c>
      <c r="B48" s="451"/>
      <c r="C48" s="36"/>
      <c r="D48" s="451"/>
      <c r="E48" s="144"/>
      <c r="F48" s="79" t="s">
        <v>187</v>
      </c>
      <c r="G48" s="451"/>
      <c r="H48" s="146"/>
      <c r="I48" s="3">
        <v>11205.035189248843</v>
      </c>
      <c r="J48" s="459"/>
      <c r="K48" s="37"/>
      <c r="L48" s="215"/>
    </row>
    <row r="49" spans="1:14" ht="15" customHeight="1" x14ac:dyDescent="0.2">
      <c r="A49" s="116">
        <v>49</v>
      </c>
      <c r="B49" s="451"/>
      <c r="C49" s="36"/>
      <c r="D49" s="451"/>
      <c r="E49" s="144"/>
      <c r="F49" s="144" t="s">
        <v>161</v>
      </c>
      <c r="G49" s="451"/>
      <c r="H49" s="88"/>
      <c r="I49" s="334">
        <f>'S4.RAB Value (Rolled Forward)'!P83</f>
        <v>12243.756617927396</v>
      </c>
      <c r="J49" s="56"/>
      <c r="K49" s="37"/>
      <c r="L49" s="260" t="s">
        <v>578</v>
      </c>
    </row>
    <row r="50" spans="1:14" s="135" customFormat="1" ht="15" customHeight="1" x14ac:dyDescent="0.2">
      <c r="A50" s="116">
        <v>50</v>
      </c>
      <c r="B50" s="451"/>
      <c r="C50" s="36"/>
      <c r="D50" s="451"/>
      <c r="E50" s="144"/>
      <c r="F50" s="79" t="s">
        <v>179</v>
      </c>
      <c r="G50" s="451"/>
      <c r="H50" s="88"/>
      <c r="I50" s="451"/>
      <c r="J50" s="334">
        <f>I49-I48</f>
        <v>1038.7214286785529</v>
      </c>
      <c r="K50" s="37"/>
      <c r="L50" s="214" t="s">
        <v>595</v>
      </c>
      <c r="M50" s="29"/>
      <c r="N50" s="29"/>
    </row>
    <row r="51" spans="1:14" x14ac:dyDescent="0.2">
      <c r="A51" s="116">
        <v>51</v>
      </c>
      <c r="B51" s="451"/>
      <c r="C51" s="36"/>
      <c r="D51" s="451"/>
      <c r="E51" s="144"/>
      <c r="F51" s="79"/>
      <c r="G51" s="451"/>
      <c r="H51" s="88"/>
      <c r="I51" s="451"/>
      <c r="J51" s="62"/>
      <c r="K51" s="37"/>
      <c r="M51" s="135"/>
      <c r="N51" s="135"/>
    </row>
    <row r="52" spans="1:14" ht="20.100000000000001" customHeight="1" x14ac:dyDescent="0.3">
      <c r="A52" s="116">
        <v>52</v>
      </c>
      <c r="B52" s="451"/>
      <c r="C52" s="142" t="s">
        <v>349</v>
      </c>
      <c r="D52" s="117"/>
      <c r="E52" s="144"/>
      <c r="F52" s="451"/>
      <c r="G52" s="451"/>
      <c r="H52" s="88"/>
      <c r="I52" s="451"/>
      <c r="J52" s="445" t="s">
        <v>127</v>
      </c>
      <c r="K52" s="37"/>
      <c r="L52" s="215"/>
    </row>
    <row r="53" spans="1:14" ht="15" customHeight="1" x14ac:dyDescent="0.2">
      <c r="A53" s="116">
        <v>53</v>
      </c>
      <c r="B53" s="451"/>
      <c r="C53" s="451"/>
      <c r="D53" s="451"/>
      <c r="E53" s="144"/>
      <c r="F53" s="144"/>
      <c r="G53" s="451"/>
      <c r="H53" s="451"/>
      <c r="I53" s="451"/>
      <c r="J53" s="68"/>
      <c r="K53" s="37"/>
      <c r="L53" s="215"/>
    </row>
    <row r="54" spans="1:14" ht="15" customHeight="1" x14ac:dyDescent="0.2">
      <c r="A54" s="116">
        <v>54</v>
      </c>
      <c r="B54" s="451"/>
      <c r="C54" s="451"/>
      <c r="D54" s="451"/>
      <c r="E54" s="117" t="s">
        <v>188</v>
      </c>
      <c r="F54" s="144"/>
      <c r="G54" s="451"/>
      <c r="H54" s="451"/>
      <c r="I54" s="3">
        <v>0</v>
      </c>
      <c r="J54" s="451"/>
      <c r="K54" s="37"/>
      <c r="L54" s="258"/>
      <c r="M54" s="536"/>
    </row>
    <row r="55" spans="1:14" ht="15" customHeight="1" x14ac:dyDescent="0.2">
      <c r="A55" s="116">
        <v>55</v>
      </c>
      <c r="B55" s="451"/>
      <c r="C55" s="62"/>
      <c r="D55" s="55" t="s">
        <v>6</v>
      </c>
      <c r="E55" s="117"/>
      <c r="F55" s="144" t="s">
        <v>189</v>
      </c>
      <c r="G55" s="36"/>
      <c r="H55" s="451"/>
      <c r="I55" s="3">
        <v>0</v>
      </c>
      <c r="J55" s="451"/>
      <c r="K55" s="37"/>
    </row>
    <row r="56" spans="1:14" ht="15" customHeight="1" thickBot="1" x14ac:dyDescent="0.25">
      <c r="A56" s="116">
        <v>56</v>
      </c>
      <c r="B56" s="451"/>
      <c r="C56" s="62"/>
      <c r="D56" s="55" t="s">
        <v>5</v>
      </c>
      <c r="E56" s="117"/>
      <c r="F56" s="144" t="s">
        <v>182</v>
      </c>
      <c r="G56" s="36"/>
      <c r="H56" s="451"/>
      <c r="I56" s="3">
        <v>0</v>
      </c>
      <c r="J56" s="451"/>
      <c r="K56" s="37"/>
    </row>
    <row r="57" spans="1:14" ht="15" customHeight="1" thickBot="1" x14ac:dyDescent="0.25">
      <c r="A57" s="116">
        <v>57</v>
      </c>
      <c r="B57" s="451"/>
      <c r="C57" s="451"/>
      <c r="D57" s="451"/>
      <c r="E57" s="117" t="s">
        <v>190</v>
      </c>
      <c r="F57" s="144"/>
      <c r="G57" s="451"/>
      <c r="H57" s="451"/>
      <c r="I57" s="451"/>
      <c r="J57" s="457">
        <f>I54+I55-I56</f>
        <v>0</v>
      </c>
      <c r="K57" s="37"/>
    </row>
    <row r="58" spans="1:14" ht="30" customHeight="1" x14ac:dyDescent="0.3">
      <c r="A58" s="116">
        <v>58</v>
      </c>
      <c r="B58" s="451"/>
      <c r="C58" s="142" t="s">
        <v>350</v>
      </c>
      <c r="D58" s="451"/>
      <c r="E58" s="144"/>
      <c r="F58" s="144"/>
      <c r="G58" s="451"/>
      <c r="H58" s="451"/>
      <c r="I58" s="451"/>
      <c r="J58" s="341" t="s">
        <v>127</v>
      </c>
      <c r="K58" s="37"/>
      <c r="L58" s="215"/>
    </row>
    <row r="59" spans="1:14" ht="15" customHeight="1" x14ac:dyDescent="0.2">
      <c r="A59" s="116">
        <v>59</v>
      </c>
      <c r="B59" s="451"/>
      <c r="C59" s="451"/>
      <c r="D59" s="451"/>
      <c r="E59" s="144"/>
      <c r="F59" s="144"/>
      <c r="G59" s="451"/>
      <c r="H59" s="451"/>
      <c r="I59" s="451"/>
      <c r="J59" s="66"/>
      <c r="K59" s="37"/>
    </row>
    <row r="60" spans="1:14" ht="15" customHeight="1" x14ac:dyDescent="0.2">
      <c r="A60" s="116">
        <v>60</v>
      </c>
      <c r="B60" s="451"/>
      <c r="C60" s="451"/>
      <c r="D60" s="143"/>
      <c r="E60" s="117" t="s">
        <v>129</v>
      </c>
      <c r="F60" s="144"/>
      <c r="G60" s="143"/>
      <c r="H60" s="451"/>
      <c r="I60" s="3">
        <v>-5187</v>
      </c>
      <c r="J60" s="451"/>
      <c r="K60" s="37"/>
      <c r="L60" s="214" t="s">
        <v>605</v>
      </c>
    </row>
    <row r="61" spans="1:14" ht="15" customHeight="1" x14ac:dyDescent="0.2">
      <c r="A61" s="116">
        <v>61</v>
      </c>
      <c r="B61" s="451"/>
      <c r="C61" s="451"/>
      <c r="D61" s="451"/>
      <c r="E61" s="117"/>
      <c r="F61" s="144"/>
      <c r="G61" s="451"/>
      <c r="H61" s="451"/>
      <c r="I61" s="451"/>
      <c r="J61" s="451"/>
      <c r="K61" s="37"/>
    </row>
    <row r="62" spans="1:14" ht="15" customHeight="1" x14ac:dyDescent="0.2">
      <c r="A62" s="116">
        <v>62</v>
      </c>
      <c r="B62" s="451"/>
      <c r="C62" s="62"/>
      <c r="D62" s="55" t="s">
        <v>6</v>
      </c>
      <c r="E62" s="117"/>
      <c r="F62" s="144" t="s">
        <v>191</v>
      </c>
      <c r="G62" s="36"/>
      <c r="H62" s="451"/>
      <c r="I62" s="334">
        <f>I28*I48</f>
        <v>3137.4098529896764</v>
      </c>
      <c r="J62" s="451"/>
      <c r="K62" s="37"/>
      <c r="L62" s="217" t="s">
        <v>909</v>
      </c>
    </row>
    <row r="63" spans="1:14" ht="15" customHeight="1" x14ac:dyDescent="0.2">
      <c r="A63" s="116">
        <v>63</v>
      </c>
      <c r="B63" s="451"/>
      <c r="C63" s="62"/>
      <c r="D63" s="62"/>
      <c r="E63" s="117"/>
      <c r="F63" s="144"/>
      <c r="G63" s="36"/>
      <c r="H63" s="451"/>
      <c r="I63" s="451"/>
      <c r="J63" s="451"/>
      <c r="K63" s="37"/>
    </row>
    <row r="64" spans="1:14" ht="15" customHeight="1" x14ac:dyDescent="0.2">
      <c r="A64" s="116">
        <v>64</v>
      </c>
      <c r="B64" s="451"/>
      <c r="C64" s="62"/>
      <c r="D64" s="55" t="s">
        <v>5</v>
      </c>
      <c r="E64" s="117"/>
      <c r="F64" s="287" t="s">
        <v>698</v>
      </c>
      <c r="G64" s="36"/>
      <c r="H64" s="451"/>
      <c r="I64" s="455">
        <f>I28*I84</f>
        <v>3736.8003530392925</v>
      </c>
      <c r="J64" s="451"/>
      <c r="K64" s="37"/>
      <c r="L64" s="217" t="s">
        <v>920</v>
      </c>
    </row>
    <row r="65" spans="1:12" ht="15" customHeight="1" x14ac:dyDescent="0.2">
      <c r="A65" s="116">
        <v>65</v>
      </c>
      <c r="B65" s="451"/>
      <c r="C65" s="62"/>
      <c r="D65" s="62"/>
      <c r="E65" s="117"/>
      <c r="F65" s="144"/>
      <c r="G65" s="36"/>
      <c r="H65" s="451"/>
      <c r="I65" s="451"/>
      <c r="J65" s="451"/>
      <c r="K65" s="37"/>
    </row>
    <row r="66" spans="1:12" ht="15" customHeight="1" x14ac:dyDescent="0.2">
      <c r="A66" s="116">
        <v>66</v>
      </c>
      <c r="B66" s="451"/>
      <c r="C66" s="62"/>
      <c r="D66" s="130" t="s">
        <v>6</v>
      </c>
      <c r="E66" s="117"/>
      <c r="F66" s="144" t="s">
        <v>192</v>
      </c>
      <c r="G66" s="36"/>
      <c r="H66" s="451"/>
      <c r="I66" s="3">
        <v>11.759066666666651</v>
      </c>
      <c r="J66" s="451"/>
      <c r="K66" s="37"/>
    </row>
    <row r="67" spans="1:12" ht="15" customHeight="1" x14ac:dyDescent="0.2">
      <c r="A67" s="116">
        <v>67</v>
      </c>
      <c r="B67" s="451"/>
      <c r="C67" s="451"/>
      <c r="D67" s="62"/>
      <c r="E67" s="117"/>
      <c r="F67" s="144"/>
      <c r="G67" s="36"/>
      <c r="H67" s="451"/>
      <c r="I67" s="36"/>
      <c r="J67" s="451"/>
      <c r="K67" s="37"/>
    </row>
    <row r="68" spans="1:12" ht="15" customHeight="1" x14ac:dyDescent="0.2">
      <c r="A68" s="116">
        <v>68</v>
      </c>
      <c r="B68" s="451"/>
      <c r="C68" s="62"/>
      <c r="D68" s="130" t="s">
        <v>5</v>
      </c>
      <c r="E68" s="117"/>
      <c r="F68" s="144" t="s">
        <v>193</v>
      </c>
      <c r="G68" s="36"/>
      <c r="H68" s="451"/>
      <c r="I68" s="334">
        <f>I37*I28</f>
        <v>771.72893968432584</v>
      </c>
      <c r="J68" s="451"/>
      <c r="K68" s="37"/>
      <c r="L68" s="217" t="s">
        <v>910</v>
      </c>
    </row>
    <row r="69" spans="1:12" ht="15" customHeight="1" x14ac:dyDescent="0.2">
      <c r="A69" s="116">
        <v>69</v>
      </c>
      <c r="B69" s="451"/>
      <c r="C69" s="451"/>
      <c r="D69" s="62"/>
      <c r="E69" s="117"/>
      <c r="F69" s="144"/>
      <c r="G69" s="36"/>
      <c r="H69" s="451"/>
      <c r="I69" s="36"/>
      <c r="J69" s="451"/>
      <c r="K69" s="37"/>
    </row>
    <row r="70" spans="1:12" ht="15" customHeight="1" x14ac:dyDescent="0.2">
      <c r="A70" s="116">
        <v>70</v>
      </c>
      <c r="B70" s="451"/>
      <c r="C70" s="62"/>
      <c r="D70" s="130" t="s">
        <v>6</v>
      </c>
      <c r="E70" s="117"/>
      <c r="F70" s="144" t="s">
        <v>194</v>
      </c>
      <c r="G70" s="36"/>
      <c r="H70" s="451"/>
      <c r="I70" s="3">
        <v>0</v>
      </c>
      <c r="J70" s="451"/>
      <c r="K70" s="37"/>
    </row>
    <row r="71" spans="1:12" ht="15" customHeight="1" x14ac:dyDescent="0.2">
      <c r="A71" s="116">
        <v>71</v>
      </c>
      <c r="B71" s="451"/>
      <c r="C71" s="451"/>
      <c r="D71" s="62"/>
      <c r="E71" s="117"/>
      <c r="F71" s="144"/>
      <c r="G71" s="36"/>
      <c r="H71" s="451"/>
      <c r="I71" s="36"/>
      <c r="J71" s="451"/>
      <c r="K71" s="37"/>
    </row>
    <row r="72" spans="1:12" ht="15" customHeight="1" x14ac:dyDescent="0.2">
      <c r="A72" s="116">
        <v>72</v>
      </c>
      <c r="B72" s="451"/>
      <c r="C72" s="62"/>
      <c r="D72" s="130" t="s">
        <v>5</v>
      </c>
      <c r="E72" s="117"/>
      <c r="F72" s="144" t="s">
        <v>195</v>
      </c>
      <c r="G72" s="36"/>
      <c r="H72" s="451"/>
      <c r="I72" s="334">
        <f>(I86-'S4.RAB Value (Rolled Forward)'!P18)*I28</f>
        <v>0</v>
      </c>
      <c r="J72" s="451"/>
      <c r="K72" s="37"/>
      <c r="L72" s="217" t="s">
        <v>912</v>
      </c>
    </row>
    <row r="73" spans="1:12" ht="15" customHeight="1" x14ac:dyDescent="0.2">
      <c r="A73" s="116">
        <v>73</v>
      </c>
      <c r="B73" s="451"/>
      <c r="C73" s="451"/>
      <c r="D73" s="62"/>
      <c r="E73" s="117"/>
      <c r="F73" s="144"/>
      <c r="G73" s="36"/>
      <c r="H73" s="451"/>
      <c r="I73" s="36"/>
      <c r="J73" s="451"/>
      <c r="K73" s="37"/>
    </row>
    <row r="74" spans="1:12" ht="15" customHeight="1" x14ac:dyDescent="0.2">
      <c r="A74" s="116">
        <v>74</v>
      </c>
      <c r="B74" s="451"/>
      <c r="C74" s="62"/>
      <c r="D74" s="130" t="s">
        <v>6</v>
      </c>
      <c r="E74" s="117"/>
      <c r="F74" s="144" t="s">
        <v>196</v>
      </c>
      <c r="G74" s="36"/>
      <c r="H74" s="451"/>
      <c r="I74" s="334">
        <f>(I88-'S4.RAB Value (Rolled Forward)'!P22)*I28</f>
        <v>-6.4372517671436078E-2</v>
      </c>
      <c r="J74" s="451"/>
      <c r="K74" s="37"/>
      <c r="L74" s="217" t="s">
        <v>911</v>
      </c>
    </row>
    <row r="75" spans="1:12" ht="15" customHeight="1" thickBot="1" x14ac:dyDescent="0.25">
      <c r="A75" s="116">
        <v>75</v>
      </c>
      <c r="B75" s="451"/>
      <c r="C75" s="451"/>
      <c r="D75" s="36"/>
      <c r="E75" s="117"/>
      <c r="F75" s="144"/>
      <c r="G75" s="36"/>
      <c r="H75" s="451"/>
      <c r="I75" s="451"/>
      <c r="J75" s="36"/>
      <c r="K75" s="37"/>
    </row>
    <row r="76" spans="1:12" ht="15" customHeight="1" thickBot="1" x14ac:dyDescent="0.25">
      <c r="A76" s="116">
        <v>76</v>
      </c>
      <c r="B76" s="451"/>
      <c r="C76" s="451"/>
      <c r="D76" s="451"/>
      <c r="E76" s="117" t="s">
        <v>197</v>
      </c>
      <c r="F76" s="144"/>
      <c r="G76" s="451"/>
      <c r="H76" s="451"/>
      <c r="I76" s="451"/>
      <c r="J76" s="457">
        <f>I60+I62-I64+I66-I68+I70-I72+I74</f>
        <v>-6546.4247455849472</v>
      </c>
      <c r="K76" s="37"/>
      <c r="L76" s="214" t="s">
        <v>605</v>
      </c>
    </row>
    <row r="77" spans="1:12" ht="30" customHeight="1" x14ac:dyDescent="0.2">
      <c r="A77" s="116">
        <v>77</v>
      </c>
      <c r="B77" s="451"/>
      <c r="C77" s="451"/>
      <c r="D77" s="451"/>
      <c r="E77" s="144"/>
      <c r="F77" s="144"/>
      <c r="G77" s="451"/>
      <c r="H77" s="451"/>
      <c r="I77" s="451"/>
      <c r="J77" s="451"/>
      <c r="K77" s="37"/>
    </row>
    <row r="78" spans="1:12" ht="20.100000000000001" customHeight="1" x14ac:dyDescent="0.3">
      <c r="A78" s="116">
        <v>78</v>
      </c>
      <c r="B78" s="451"/>
      <c r="C78" s="142" t="s">
        <v>351</v>
      </c>
      <c r="D78" s="451"/>
      <c r="E78" s="144"/>
      <c r="F78" s="144"/>
      <c r="G78" s="451"/>
      <c r="H78" s="451"/>
      <c r="I78" s="451"/>
      <c r="J78" s="68"/>
      <c r="K78" s="37"/>
      <c r="L78" s="215"/>
    </row>
    <row r="79" spans="1:12" ht="24.75" customHeight="1" x14ac:dyDescent="0.2">
      <c r="A79" s="116">
        <v>79</v>
      </c>
      <c r="B79" s="451"/>
      <c r="C79" s="451"/>
      <c r="D79" s="139"/>
      <c r="E79" s="451"/>
      <c r="F79" s="636" t="s">
        <v>633</v>
      </c>
      <c r="G79" s="636"/>
      <c r="H79" s="636"/>
      <c r="I79" s="636"/>
      <c r="J79" s="636"/>
      <c r="K79" s="37"/>
    </row>
    <row r="80" spans="1:12" x14ac:dyDescent="0.2">
      <c r="A80" s="116">
        <v>80</v>
      </c>
      <c r="B80" s="451"/>
      <c r="C80" s="451"/>
      <c r="D80" s="143"/>
      <c r="E80" s="451"/>
      <c r="F80" s="451"/>
      <c r="G80" s="451"/>
      <c r="H80" s="451"/>
      <c r="I80" s="68"/>
      <c r="J80" s="451"/>
      <c r="K80" s="37"/>
    </row>
    <row r="81" spans="1:14" ht="20.100000000000001" customHeight="1" x14ac:dyDescent="0.3">
      <c r="A81" s="116">
        <v>81</v>
      </c>
      <c r="B81" s="451"/>
      <c r="C81" s="142" t="s">
        <v>382</v>
      </c>
      <c r="D81" s="451"/>
      <c r="E81" s="144"/>
      <c r="F81" s="144"/>
      <c r="G81" s="451"/>
      <c r="H81" s="451"/>
      <c r="I81" s="451"/>
      <c r="J81" s="68"/>
      <c r="K81" s="37"/>
      <c r="L81" s="215"/>
    </row>
    <row r="82" spans="1:14" ht="15" customHeight="1" x14ac:dyDescent="0.2">
      <c r="A82" s="116">
        <v>82</v>
      </c>
      <c r="B82" s="451"/>
      <c r="C82" s="451"/>
      <c r="D82" s="451"/>
      <c r="E82" s="144"/>
      <c r="F82" s="144"/>
      <c r="G82" s="451"/>
      <c r="H82" s="451"/>
      <c r="I82" s="451"/>
      <c r="J82" s="445" t="s">
        <v>127</v>
      </c>
      <c r="K82" s="37"/>
      <c r="L82" s="215"/>
    </row>
    <row r="83" spans="1:14" ht="15" customHeight="1" x14ac:dyDescent="0.3">
      <c r="A83" s="116">
        <v>83</v>
      </c>
      <c r="B83" s="451"/>
      <c r="C83" s="142"/>
      <c r="D83" s="441"/>
      <c r="E83" s="313" t="s">
        <v>625</v>
      </c>
      <c r="F83" s="313"/>
      <c r="G83" s="441"/>
      <c r="H83" s="67"/>
      <c r="I83" s="3">
        <v>105380</v>
      </c>
      <c r="J83" s="451"/>
      <c r="K83" s="37"/>
      <c r="L83" s="258"/>
      <c r="M83" s="536"/>
    </row>
    <row r="84" spans="1:14" ht="15" customHeight="1" x14ac:dyDescent="0.2">
      <c r="A84" s="116">
        <v>84</v>
      </c>
      <c r="B84" s="451"/>
      <c r="C84" s="62"/>
      <c r="D84" s="55" t="s">
        <v>5</v>
      </c>
      <c r="E84" s="451"/>
      <c r="F84" s="144" t="s">
        <v>388</v>
      </c>
      <c r="G84" s="441"/>
      <c r="H84" s="67"/>
      <c r="I84" s="3">
        <v>13345.715546568901</v>
      </c>
      <c r="J84" s="451"/>
      <c r="K84" s="37"/>
      <c r="L84" s="217"/>
    </row>
    <row r="85" spans="1:14" ht="15" customHeight="1" x14ac:dyDescent="0.2">
      <c r="A85" s="116">
        <v>85</v>
      </c>
      <c r="B85" s="451"/>
      <c r="C85" s="62"/>
      <c r="D85" s="55" t="s">
        <v>6</v>
      </c>
      <c r="E85" s="451"/>
      <c r="F85" s="144" t="s">
        <v>198</v>
      </c>
      <c r="G85" s="451"/>
      <c r="H85" s="451"/>
      <c r="I85" s="3">
        <v>30905.744295935769</v>
      </c>
      <c r="J85" s="451"/>
      <c r="K85" s="37"/>
    </row>
    <row r="86" spans="1:14" ht="15" customHeight="1" x14ac:dyDescent="0.2">
      <c r="A86" s="116">
        <v>86</v>
      </c>
      <c r="B86" s="451"/>
      <c r="C86" s="62"/>
      <c r="D86" s="55" t="s">
        <v>5</v>
      </c>
      <c r="E86" s="451"/>
      <c r="F86" s="144" t="s">
        <v>199</v>
      </c>
      <c r="G86" s="451"/>
      <c r="H86" s="451"/>
      <c r="I86" s="3">
        <v>0</v>
      </c>
      <c r="J86" s="451"/>
      <c r="K86" s="37"/>
    </row>
    <row r="87" spans="1:14" s="269" customFormat="1" ht="15" customHeight="1" x14ac:dyDescent="0.2">
      <c r="A87" s="116">
        <v>87</v>
      </c>
      <c r="B87" s="451"/>
      <c r="C87" s="62"/>
      <c r="D87" s="55" t="s">
        <v>6</v>
      </c>
      <c r="E87" s="451"/>
      <c r="F87" s="144" t="s">
        <v>137</v>
      </c>
      <c r="G87" s="451"/>
      <c r="H87" s="451"/>
      <c r="I87" s="3">
        <v>0</v>
      </c>
      <c r="J87" s="451"/>
      <c r="K87" s="37"/>
      <c r="L87" s="214"/>
      <c r="M87" s="29"/>
      <c r="N87" s="29"/>
    </row>
    <row r="88" spans="1:14" ht="15" customHeight="1" x14ac:dyDescent="0.2">
      <c r="A88" s="116">
        <v>88</v>
      </c>
      <c r="B88" s="451"/>
      <c r="C88" s="62"/>
      <c r="D88" s="55" t="s">
        <v>6</v>
      </c>
      <c r="E88" s="451"/>
      <c r="F88" s="144" t="s">
        <v>136</v>
      </c>
      <c r="G88" s="451"/>
      <c r="H88" s="451"/>
      <c r="I88" s="3">
        <v>0</v>
      </c>
      <c r="J88" s="451"/>
      <c r="K88" s="37"/>
      <c r="M88" s="269"/>
      <c r="N88" s="269"/>
    </row>
    <row r="89" spans="1:14" ht="15" customHeight="1" thickBot="1" x14ac:dyDescent="0.25">
      <c r="A89" s="116">
        <v>89</v>
      </c>
      <c r="B89" s="451"/>
      <c r="C89" s="314"/>
      <c r="D89" s="315" t="s">
        <v>6</v>
      </c>
      <c r="E89" s="88"/>
      <c r="F89" s="287" t="s">
        <v>666</v>
      </c>
      <c r="G89" s="451"/>
      <c r="H89" s="451"/>
      <c r="I89" s="3">
        <v>0</v>
      </c>
      <c r="J89" s="451"/>
      <c r="K89" s="37"/>
    </row>
    <row r="90" spans="1:14" ht="13.5" thickBot="1" x14ac:dyDescent="0.25">
      <c r="A90" s="116">
        <v>90</v>
      </c>
      <c r="B90" s="451"/>
      <c r="C90" s="451"/>
      <c r="D90" s="451"/>
      <c r="E90" s="302" t="s">
        <v>383</v>
      </c>
      <c r="F90" s="287"/>
      <c r="G90" s="451"/>
      <c r="H90" s="451"/>
      <c r="I90" s="451"/>
      <c r="J90" s="460">
        <f>I83-I84+I85-I86+I87+I89+I88</f>
        <v>122940.02874936687</v>
      </c>
      <c r="K90" s="37"/>
    </row>
    <row r="91" spans="1:14" x14ac:dyDescent="0.2">
      <c r="A91" s="39"/>
      <c r="B91" s="41"/>
      <c r="C91" s="41"/>
      <c r="D91" s="41"/>
      <c r="E91" s="41"/>
      <c r="F91" s="41"/>
      <c r="G91" s="41"/>
      <c r="H91" s="41"/>
      <c r="I91" s="41"/>
      <c r="J91" s="41"/>
      <c r="K91" s="47"/>
    </row>
  </sheetData>
  <sheetProtection formatRows="0" insertRows="0"/>
  <customSheetViews>
    <customSheetView guid="{21F2E024-704F-4E93-AC63-213755ECFFE0}" scale="55" showPageBreaks="1" showGridLines="0" printArea="1" view="pageBreakPreview">
      <pane ySplit="6" topLeftCell="A22" activePane="bottomLeft" state="frozen"/>
      <selection pane="bottomLeft" activeCell="R34" sqref="R34"/>
      <pageMargins left="0.70866141732283472" right="0.70866141732283472" top="0.74803149606299213" bottom="0.74803149606299213" header="0.31496062992125984" footer="0.31496062992125984"/>
      <pageSetup paperSize="9" scale="48"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4">
    <mergeCell ref="F79:J79"/>
    <mergeCell ref="A5:J5"/>
    <mergeCell ref="H2:J2"/>
    <mergeCell ref="H3:J3"/>
  </mergeCells>
  <pageMargins left="0.70866141732283472" right="0.70866141732283472" top="0.74803149606299213" bottom="0.74803149606299213" header="0.31496062992125989" footer="0.31496062992125989"/>
  <pageSetup paperSize="9" scale="67" fitToHeight="0" orientation="portrait" r:id="rId2"/>
  <headerFooter alignWithMargins="0">
    <oddHeader>&amp;CCommerce Commission Information Disclosure Template</oddHeader>
    <oddFooter>&amp;L&amp;F&amp;C&amp;P&amp;R&amp;A</oddFooter>
  </headerFooter>
  <rowBreaks count="1" manualBreakCount="1">
    <brk id="43"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sheetPr>
  <dimension ref="A1:N62"/>
  <sheetViews>
    <sheetView showGridLines="0" zoomScaleNormal="100" zoomScaleSheetLayoutView="100" workbookViewId="0">
      <selection activeCell="N23" sqref="N23"/>
    </sheetView>
  </sheetViews>
  <sheetFormatPr defaultColWidth="9.140625" defaultRowHeight="12.75" x14ac:dyDescent="0.2"/>
  <cols>
    <col min="1" max="1" width="3.7109375" style="22" customWidth="1"/>
    <col min="2" max="2" width="2.85546875" style="22" customWidth="1"/>
    <col min="3" max="3" width="6.140625" style="22" customWidth="1"/>
    <col min="4" max="5" width="2.28515625" style="27" customWidth="1"/>
    <col min="6" max="6" width="39.42578125" style="27" customWidth="1"/>
    <col min="7" max="7" width="14.28515625" style="27" customWidth="1"/>
    <col min="8" max="8" width="32.7109375" style="22" customWidth="1"/>
    <col min="9" max="9" width="16.140625" style="22" customWidth="1"/>
    <col min="10" max="10" width="11.7109375" style="22" customWidth="1"/>
    <col min="11" max="11" width="43.7109375" style="22" customWidth="1"/>
    <col min="12" max="12" width="2.7109375" style="22" customWidth="1"/>
    <col min="13" max="13" width="5.7109375" style="22" customWidth="1"/>
    <col min="14" max="14" width="41.28515625" style="22" customWidth="1"/>
    <col min="15" max="16384" width="9.140625" style="22"/>
  </cols>
  <sheetData>
    <row r="1" spans="1:14" s="23" customFormat="1" ht="15" customHeight="1" x14ac:dyDescent="0.2">
      <c r="A1" s="555"/>
      <c r="B1" s="551"/>
      <c r="C1" s="551"/>
      <c r="D1" s="551"/>
      <c r="E1" s="551"/>
      <c r="F1" s="551"/>
      <c r="G1" s="551"/>
      <c r="H1" s="551"/>
      <c r="I1" s="551"/>
      <c r="J1" s="551"/>
      <c r="K1" s="551"/>
      <c r="L1" s="550"/>
      <c r="M1"/>
      <c r="N1"/>
    </row>
    <row r="2" spans="1:14" s="23" customFormat="1" ht="18" customHeight="1" x14ac:dyDescent="0.3">
      <c r="A2" s="76"/>
      <c r="B2" s="449"/>
      <c r="C2" s="449"/>
      <c r="D2" s="449"/>
      <c r="E2" s="449"/>
      <c r="F2" s="449"/>
      <c r="G2" s="92"/>
      <c r="H2" s="94" t="s">
        <v>8</v>
      </c>
      <c r="I2" s="611" t="str">
        <f>IF(NOT(ISBLANK(CoverSheet!$C$8)),CoverSheet!$C$8,"")</f>
        <v>Alpine Energy Limited</v>
      </c>
      <c r="J2" s="611"/>
      <c r="K2" s="611"/>
      <c r="L2" s="77"/>
      <c r="M2"/>
      <c r="N2"/>
    </row>
    <row r="3" spans="1:14" s="23" customFormat="1" ht="18" customHeight="1" x14ac:dyDescent="0.25">
      <c r="A3" s="76"/>
      <c r="B3" s="449"/>
      <c r="C3" s="449"/>
      <c r="D3" s="449"/>
      <c r="E3" s="449"/>
      <c r="F3" s="449"/>
      <c r="G3" s="92"/>
      <c r="H3" s="94" t="s">
        <v>393</v>
      </c>
      <c r="I3" s="612">
        <f>IF(ISNUMBER(CoverSheet!$C$12),CoverSheet!$C$12,"")</f>
        <v>43190</v>
      </c>
      <c r="J3" s="612"/>
      <c r="K3" s="612"/>
      <c r="L3" s="78"/>
      <c r="M3"/>
      <c r="N3"/>
    </row>
    <row r="4" spans="1:14" s="23" customFormat="1" ht="20.25" customHeight="1" x14ac:dyDescent="0.35">
      <c r="A4" s="545" t="s">
        <v>356</v>
      </c>
      <c r="B4" s="449"/>
      <c r="C4" s="449"/>
      <c r="D4" s="449"/>
      <c r="E4" s="449"/>
      <c r="F4" s="449"/>
      <c r="G4" s="449"/>
      <c r="H4" s="452"/>
      <c r="I4" s="449"/>
      <c r="J4" s="449"/>
      <c r="K4" s="449"/>
      <c r="L4" s="50"/>
      <c r="M4"/>
      <c r="N4" s="27"/>
    </row>
    <row r="5" spans="1:14" s="29" customFormat="1" ht="39.75" customHeight="1" x14ac:dyDescent="0.2">
      <c r="A5" s="637" t="s">
        <v>389</v>
      </c>
      <c r="B5" s="638"/>
      <c r="C5" s="638"/>
      <c r="D5" s="638"/>
      <c r="E5" s="638"/>
      <c r="F5" s="638"/>
      <c r="G5" s="638"/>
      <c r="H5" s="638"/>
      <c r="I5" s="638"/>
      <c r="J5" s="638"/>
      <c r="K5" s="638"/>
      <c r="L5" s="95"/>
      <c r="M5" s="31"/>
      <c r="N5" s="27"/>
    </row>
    <row r="6" spans="1:14" s="23" customFormat="1" ht="15" customHeight="1" x14ac:dyDescent="0.2">
      <c r="A6" s="87" t="s">
        <v>623</v>
      </c>
      <c r="B6" s="452"/>
      <c r="C6" s="53"/>
      <c r="D6" s="54"/>
      <c r="E6" s="54"/>
      <c r="F6" s="54"/>
      <c r="G6" s="54"/>
      <c r="H6" s="449"/>
      <c r="I6" s="449"/>
      <c r="J6" s="449"/>
      <c r="K6" s="449"/>
      <c r="L6" s="50"/>
      <c r="M6"/>
      <c r="N6" s="27"/>
    </row>
    <row r="7" spans="1:14" ht="30" customHeight="1" x14ac:dyDescent="0.3">
      <c r="A7" s="116">
        <v>7</v>
      </c>
      <c r="B7" s="69"/>
      <c r="C7" s="142" t="s">
        <v>500</v>
      </c>
      <c r="D7" s="441"/>
      <c r="E7" s="441"/>
      <c r="F7" s="441"/>
      <c r="G7" s="441"/>
      <c r="H7" s="441"/>
      <c r="I7" s="445" t="s">
        <v>127</v>
      </c>
      <c r="J7" s="68"/>
      <c r="K7" s="68"/>
      <c r="L7" s="34"/>
      <c r="M7"/>
      <c r="N7" s="27"/>
    </row>
    <row r="8" spans="1:14" ht="15" customHeight="1" x14ac:dyDescent="0.2">
      <c r="A8" s="116">
        <v>8</v>
      </c>
      <c r="B8" s="441"/>
      <c r="C8" s="441"/>
      <c r="D8" s="441"/>
      <c r="E8" s="441"/>
      <c r="F8" s="441" t="s">
        <v>160</v>
      </c>
      <c r="G8" s="441"/>
      <c r="H8" s="441"/>
      <c r="I8" s="3">
        <v>0</v>
      </c>
      <c r="J8" s="441"/>
      <c r="K8" s="68"/>
      <c r="L8" s="34"/>
      <c r="M8"/>
      <c r="N8"/>
    </row>
    <row r="9" spans="1:14" ht="15" customHeight="1" x14ac:dyDescent="0.2">
      <c r="A9" s="116">
        <v>9</v>
      </c>
      <c r="B9" s="441"/>
      <c r="C9" s="441"/>
      <c r="D9" s="441"/>
      <c r="E9" s="441"/>
      <c r="F9" s="441" t="s">
        <v>117</v>
      </c>
      <c r="G9" s="441"/>
      <c r="H9" s="441"/>
      <c r="I9" s="3">
        <f ca="1">SUMIF(G23:J30,$G$23,J23:J30)</f>
        <v>5209.3550370228158</v>
      </c>
      <c r="J9" s="441"/>
      <c r="K9" s="68"/>
      <c r="L9" s="34"/>
      <c r="M9"/>
      <c r="N9"/>
    </row>
    <row r="10" spans="1:14" ht="15" customHeight="1" x14ac:dyDescent="0.2">
      <c r="A10" s="116">
        <v>10</v>
      </c>
      <c r="B10" s="441"/>
      <c r="C10" s="441"/>
      <c r="D10" s="441"/>
      <c r="E10" s="441"/>
      <c r="F10" s="441" t="s">
        <v>233</v>
      </c>
      <c r="G10" s="441"/>
      <c r="H10" s="441"/>
      <c r="I10" s="3">
        <f ca="1">SUMIF(G23:J30,$G$24,J23:J30)</f>
        <v>12928.041998137453</v>
      </c>
      <c r="J10" s="441"/>
      <c r="K10" s="68"/>
      <c r="L10" s="34"/>
      <c r="M10"/>
      <c r="N10"/>
    </row>
    <row r="11" spans="1:14" s="21" customFormat="1" ht="15" customHeight="1" x14ac:dyDescent="0.2">
      <c r="A11" s="116">
        <v>11</v>
      </c>
      <c r="B11" s="441"/>
      <c r="C11" s="441"/>
      <c r="D11" s="441"/>
      <c r="E11" s="441"/>
      <c r="F11" s="441" t="s">
        <v>245</v>
      </c>
      <c r="G11" s="441"/>
      <c r="H11" s="441"/>
      <c r="I11" s="3">
        <v>0</v>
      </c>
      <c r="J11" s="441"/>
      <c r="K11" s="68"/>
      <c r="L11" s="34"/>
      <c r="M11"/>
      <c r="N11"/>
    </row>
    <row r="12" spans="1:14" ht="15" customHeight="1" x14ac:dyDescent="0.2">
      <c r="A12" s="116">
        <v>12</v>
      </c>
      <c r="B12" s="441"/>
      <c r="C12" s="441"/>
      <c r="D12" s="441"/>
      <c r="E12" s="441"/>
      <c r="F12" s="441" t="s">
        <v>246</v>
      </c>
      <c r="G12" s="441"/>
      <c r="H12" s="441"/>
      <c r="I12" s="3">
        <v>0</v>
      </c>
      <c r="J12" s="441"/>
      <c r="K12" s="68"/>
      <c r="L12" s="34"/>
      <c r="M12"/>
      <c r="N12"/>
    </row>
    <row r="13" spans="1:14" s="29" customFormat="1" ht="30" customHeight="1" x14ac:dyDescent="0.3">
      <c r="A13" s="116">
        <v>13</v>
      </c>
      <c r="B13" s="69"/>
      <c r="C13" s="142" t="s">
        <v>501</v>
      </c>
      <c r="D13" s="441"/>
      <c r="E13" s="441"/>
      <c r="F13" s="441"/>
      <c r="G13" s="441"/>
      <c r="H13" s="441"/>
      <c r="I13" s="68"/>
      <c r="J13" s="68"/>
      <c r="K13" s="68"/>
      <c r="L13" s="34"/>
    </row>
    <row r="14" spans="1:14" ht="20.100000000000001" customHeight="1" x14ac:dyDescent="0.2">
      <c r="A14" s="116">
        <v>14</v>
      </c>
      <c r="B14" s="441"/>
      <c r="C14" s="441"/>
      <c r="D14" s="441"/>
      <c r="E14" s="441"/>
      <c r="F14" s="146" t="s">
        <v>657</v>
      </c>
      <c r="G14" s="441"/>
      <c r="H14" s="642" t="s">
        <v>658</v>
      </c>
      <c r="I14" s="642"/>
      <c r="J14" s="642"/>
      <c r="K14" s="642"/>
      <c r="L14" s="34"/>
      <c r="M14"/>
    </row>
    <row r="15" spans="1:14" ht="15" customHeight="1" x14ac:dyDescent="0.2">
      <c r="A15" s="116">
        <v>15</v>
      </c>
      <c r="B15" s="441"/>
      <c r="C15" s="441"/>
      <c r="D15" s="441"/>
      <c r="E15" s="441"/>
      <c r="F15" s="601" t="s">
        <v>1012</v>
      </c>
      <c r="G15" s="441"/>
      <c r="H15" s="639" t="s">
        <v>1014</v>
      </c>
      <c r="I15" s="640"/>
      <c r="J15" s="640"/>
      <c r="K15" s="641"/>
      <c r="L15" s="34"/>
      <c r="M15"/>
    </row>
    <row r="16" spans="1:14" ht="15" customHeight="1" x14ac:dyDescent="0.2">
      <c r="A16" s="116">
        <v>16</v>
      </c>
      <c r="B16" s="441"/>
      <c r="C16" s="441"/>
      <c r="D16" s="441"/>
      <c r="E16" s="441"/>
      <c r="F16" s="601" t="s">
        <v>1013</v>
      </c>
      <c r="G16" s="441"/>
      <c r="H16" s="639" t="s">
        <v>1014</v>
      </c>
      <c r="I16" s="640"/>
      <c r="J16" s="640"/>
      <c r="K16" s="641"/>
      <c r="L16" s="34"/>
      <c r="M16"/>
    </row>
    <row r="17" spans="1:13" ht="15" customHeight="1" x14ac:dyDescent="0.2">
      <c r="A17" s="116">
        <v>17</v>
      </c>
      <c r="B17" s="441"/>
      <c r="C17" s="441"/>
      <c r="D17" s="441"/>
      <c r="E17" s="441"/>
      <c r="F17" s="439"/>
      <c r="G17" s="441"/>
      <c r="H17" s="639"/>
      <c r="I17" s="640"/>
      <c r="J17" s="640"/>
      <c r="K17" s="641"/>
      <c r="L17" s="34"/>
      <c r="M17"/>
    </row>
    <row r="18" spans="1:13" ht="15" customHeight="1" x14ac:dyDescent="0.2">
      <c r="A18" s="116">
        <v>18</v>
      </c>
      <c r="B18" s="441"/>
      <c r="C18" s="441"/>
      <c r="D18" s="441"/>
      <c r="E18" s="441"/>
      <c r="F18" s="439"/>
      <c r="G18" s="441"/>
      <c r="H18" s="639"/>
      <c r="I18" s="640"/>
      <c r="J18" s="640"/>
      <c r="K18" s="641"/>
      <c r="L18" s="34"/>
      <c r="M18"/>
    </row>
    <row r="19" spans="1:13" ht="15" customHeight="1" x14ac:dyDescent="0.2">
      <c r="A19" s="116">
        <v>19</v>
      </c>
      <c r="B19" s="441"/>
      <c r="C19" s="441"/>
      <c r="D19" s="441"/>
      <c r="E19" s="441"/>
      <c r="F19" s="439"/>
      <c r="G19" s="441"/>
      <c r="H19" s="639"/>
      <c r="I19" s="640"/>
      <c r="J19" s="640"/>
      <c r="K19" s="641"/>
      <c r="L19" s="34"/>
      <c r="M19"/>
    </row>
    <row r="20" spans="1:13" ht="15" customHeight="1" x14ac:dyDescent="0.2">
      <c r="A20" s="116">
        <v>20</v>
      </c>
      <c r="B20" s="441"/>
      <c r="C20" s="441"/>
      <c r="D20" s="441"/>
      <c r="E20" s="441"/>
      <c r="F20" s="316" t="s">
        <v>655</v>
      </c>
      <c r="G20" s="441"/>
      <c r="H20" s="644"/>
      <c r="I20" s="644"/>
      <c r="J20" s="644"/>
      <c r="K20" s="644"/>
      <c r="L20" s="34"/>
      <c r="M20"/>
    </row>
    <row r="21" spans="1:13" s="29" customFormat="1" ht="30" customHeight="1" x14ac:dyDescent="0.3">
      <c r="A21" s="116">
        <v>21</v>
      </c>
      <c r="B21" s="69"/>
      <c r="C21" s="142" t="s">
        <v>502</v>
      </c>
      <c r="D21" s="441"/>
      <c r="E21" s="441"/>
      <c r="F21" s="441"/>
      <c r="G21" s="441"/>
      <c r="H21" s="441"/>
      <c r="I21" s="68"/>
      <c r="J21" s="68"/>
      <c r="K21" s="68"/>
      <c r="L21" s="34"/>
    </row>
    <row r="22" spans="1:13" ht="61.5" customHeight="1" x14ac:dyDescent="0.2">
      <c r="A22" s="116">
        <v>22</v>
      </c>
      <c r="B22" s="441"/>
      <c r="C22" s="441"/>
      <c r="D22" s="441"/>
      <c r="E22" s="441"/>
      <c r="F22" s="440" t="s">
        <v>657</v>
      </c>
      <c r="G22" s="438" t="s">
        <v>659</v>
      </c>
      <c r="H22" s="643" t="s">
        <v>660</v>
      </c>
      <c r="I22" s="643"/>
      <c r="J22" s="440" t="s">
        <v>661</v>
      </c>
      <c r="K22" s="440" t="s">
        <v>662</v>
      </c>
      <c r="L22" s="34"/>
      <c r="M22"/>
    </row>
    <row r="23" spans="1:13" ht="15" customHeight="1" x14ac:dyDescent="0.2">
      <c r="A23" s="116">
        <v>23</v>
      </c>
      <c r="B23" s="441"/>
      <c r="C23" s="441"/>
      <c r="D23" s="441"/>
      <c r="E23" s="441"/>
      <c r="F23" s="594" t="s">
        <v>1012</v>
      </c>
      <c r="G23" s="588" t="s">
        <v>1015</v>
      </c>
      <c r="H23" s="639" t="s">
        <v>1016</v>
      </c>
      <c r="I23" s="641"/>
      <c r="J23" s="602">
        <v>5201.2980370228161</v>
      </c>
      <c r="K23" s="594" t="s">
        <v>758</v>
      </c>
      <c r="L23" s="34"/>
      <c r="M23"/>
    </row>
    <row r="24" spans="1:13" ht="15" customHeight="1" x14ac:dyDescent="0.2">
      <c r="A24" s="116">
        <v>24</v>
      </c>
      <c r="B24" s="441"/>
      <c r="C24" s="441"/>
      <c r="D24" s="441"/>
      <c r="E24" s="441"/>
      <c r="F24" s="594" t="s">
        <v>1012</v>
      </c>
      <c r="G24" s="588" t="s">
        <v>1017</v>
      </c>
      <c r="H24" s="639" t="str">
        <f>'[3]Notes 15'!$A$7</f>
        <v>Subtransmission assets</v>
      </c>
      <c r="I24" s="641"/>
      <c r="J24" s="603">
        <v>318.37343304498387</v>
      </c>
      <c r="K24" s="594" t="s">
        <v>757</v>
      </c>
      <c r="L24" s="34"/>
      <c r="M24"/>
    </row>
    <row r="25" spans="1:13" ht="15" customHeight="1" x14ac:dyDescent="0.2">
      <c r="A25" s="116">
        <v>25</v>
      </c>
      <c r="B25" s="441"/>
      <c r="C25" s="441"/>
      <c r="D25" s="441"/>
      <c r="E25" s="441"/>
      <c r="F25" s="594" t="s">
        <v>1012</v>
      </c>
      <c r="G25" s="588" t="s">
        <v>1017</v>
      </c>
      <c r="H25" s="639" t="str">
        <f>'[3]Notes 15'!$A$8</f>
        <v>Zone Substations</v>
      </c>
      <c r="I25" s="641"/>
      <c r="J25" s="603">
        <v>7048.9598185752902</v>
      </c>
      <c r="K25" s="594" t="s">
        <v>757</v>
      </c>
      <c r="L25" s="34"/>
      <c r="M25"/>
    </row>
    <row r="26" spans="1:13" ht="15" customHeight="1" x14ac:dyDescent="0.2">
      <c r="A26" s="116">
        <v>26</v>
      </c>
      <c r="B26" s="441"/>
      <c r="C26" s="441"/>
      <c r="D26" s="441"/>
      <c r="E26" s="441"/>
      <c r="F26" s="594" t="s">
        <v>1012</v>
      </c>
      <c r="G26" s="588" t="s">
        <v>1017</v>
      </c>
      <c r="H26" s="639" t="str">
        <f>'[3]Notes 15'!$A$9</f>
        <v>Distribution and LV Lines</v>
      </c>
      <c r="I26" s="641"/>
      <c r="J26" s="603">
        <v>1468.4118811032704</v>
      </c>
      <c r="K26" s="594" t="s">
        <v>757</v>
      </c>
      <c r="L26" s="34"/>
      <c r="M26"/>
    </row>
    <row r="27" spans="1:13" ht="15" customHeight="1" x14ac:dyDescent="0.2">
      <c r="A27" s="116">
        <v>27</v>
      </c>
      <c r="B27" s="441"/>
      <c r="C27" s="441"/>
      <c r="D27" s="441"/>
      <c r="E27" s="441"/>
      <c r="F27" s="594" t="s">
        <v>1012</v>
      </c>
      <c r="G27" s="588" t="s">
        <v>1017</v>
      </c>
      <c r="H27" s="639" t="str">
        <f>'[3]Notes 15'!$A$10</f>
        <v>Distribution and LV Cables</v>
      </c>
      <c r="I27" s="641"/>
      <c r="J27" s="603">
        <v>3683.0647774212398</v>
      </c>
      <c r="K27" s="594" t="s">
        <v>757</v>
      </c>
      <c r="L27" s="34"/>
      <c r="M27"/>
    </row>
    <row r="28" spans="1:13" ht="15" customHeight="1" x14ac:dyDescent="0.2">
      <c r="A28" s="116">
        <v>28</v>
      </c>
      <c r="B28" s="441"/>
      <c r="C28" s="441"/>
      <c r="D28" s="441"/>
      <c r="E28" s="441"/>
      <c r="F28" s="594" t="s">
        <v>1012</v>
      </c>
      <c r="G28" s="588" t="s">
        <v>1017</v>
      </c>
      <c r="H28" s="639" t="str">
        <f>'[3]Notes 15'!$A$11</f>
        <v>Distribution Substations and Transformers</v>
      </c>
      <c r="I28" s="641"/>
      <c r="J28" s="603">
        <v>85.162394986628215</v>
      </c>
      <c r="K28" s="594" t="s">
        <v>757</v>
      </c>
      <c r="L28" s="34"/>
      <c r="M28"/>
    </row>
    <row r="29" spans="1:13" ht="15" customHeight="1" x14ac:dyDescent="0.2">
      <c r="A29" s="116">
        <v>29</v>
      </c>
      <c r="B29" s="441"/>
      <c r="C29" s="441"/>
      <c r="D29" s="441"/>
      <c r="E29" s="441"/>
      <c r="F29" s="594" t="s">
        <v>1012</v>
      </c>
      <c r="G29" s="588" t="s">
        <v>1017</v>
      </c>
      <c r="H29" s="639" t="str">
        <f>'[3]Notes 15'!$A$12</f>
        <v>Distribution Switchgear</v>
      </c>
      <c r="I29" s="641"/>
      <c r="J29" s="603">
        <v>324.06969300604112</v>
      </c>
      <c r="K29" s="594" t="s">
        <v>757</v>
      </c>
      <c r="L29" s="34"/>
      <c r="M29"/>
    </row>
    <row r="30" spans="1:13" ht="15" customHeight="1" x14ac:dyDescent="0.2">
      <c r="A30" s="116">
        <v>30</v>
      </c>
      <c r="B30" s="441"/>
      <c r="C30" s="441"/>
      <c r="D30" s="441"/>
      <c r="E30" s="441"/>
      <c r="F30" s="594" t="s">
        <v>1018</v>
      </c>
      <c r="G30" s="588" t="s">
        <v>1015</v>
      </c>
      <c r="H30" s="639" t="s">
        <v>1016</v>
      </c>
      <c r="I30" s="641"/>
      <c r="J30" s="602">
        <v>8.0570000000000004</v>
      </c>
      <c r="K30" s="594" t="s">
        <v>758</v>
      </c>
      <c r="L30" s="34"/>
      <c r="M30"/>
    </row>
    <row r="31" spans="1:13" ht="15" customHeight="1" x14ac:dyDescent="0.2">
      <c r="A31" s="116">
        <v>31</v>
      </c>
      <c r="B31" s="441"/>
      <c r="C31" s="441"/>
      <c r="D31" s="441"/>
      <c r="E31" s="441"/>
      <c r="F31" s="439"/>
      <c r="G31" s="368" t="s">
        <v>385</v>
      </c>
      <c r="H31" s="639"/>
      <c r="I31" s="641"/>
      <c r="J31" s="369"/>
      <c r="K31" s="439" t="s">
        <v>385</v>
      </c>
      <c r="L31" s="34"/>
      <c r="M31"/>
    </row>
    <row r="32" spans="1:13" ht="15" customHeight="1" x14ac:dyDescent="0.2">
      <c r="A32" s="116">
        <v>32</v>
      </c>
      <c r="B32" s="441"/>
      <c r="C32" s="441"/>
      <c r="D32" s="441"/>
      <c r="E32" s="441"/>
      <c r="F32" s="439"/>
      <c r="G32" s="368" t="s">
        <v>385</v>
      </c>
      <c r="H32" s="639"/>
      <c r="I32" s="641"/>
      <c r="J32" s="369"/>
      <c r="K32" s="439" t="s">
        <v>385</v>
      </c>
      <c r="L32" s="34"/>
      <c r="M32"/>
    </row>
    <row r="33" spans="1:14" ht="15" customHeight="1" x14ac:dyDescent="0.2">
      <c r="A33" s="116">
        <v>33</v>
      </c>
      <c r="B33" s="441"/>
      <c r="C33" s="441"/>
      <c r="D33" s="441"/>
      <c r="E33" s="441"/>
      <c r="F33" s="439"/>
      <c r="G33" s="368" t="s">
        <v>385</v>
      </c>
      <c r="H33" s="639"/>
      <c r="I33" s="641"/>
      <c r="J33" s="369"/>
      <c r="K33" s="439" t="s">
        <v>385</v>
      </c>
      <c r="L33" s="34"/>
      <c r="M33"/>
    </row>
    <row r="34" spans="1:14" ht="15" customHeight="1" x14ac:dyDescent="0.2">
      <c r="A34" s="116">
        <v>34</v>
      </c>
      <c r="B34" s="441"/>
      <c r="C34" s="441"/>
      <c r="D34" s="441"/>
      <c r="E34" s="441"/>
      <c r="F34" s="439"/>
      <c r="G34" s="368" t="s">
        <v>385</v>
      </c>
      <c r="H34" s="639"/>
      <c r="I34" s="641"/>
      <c r="J34" s="369"/>
      <c r="K34" s="439" t="s">
        <v>385</v>
      </c>
      <c r="L34" s="34"/>
      <c r="M34"/>
    </row>
    <row r="35" spans="1:14" ht="15" customHeight="1" x14ac:dyDescent="0.2">
      <c r="A35" s="116">
        <v>35</v>
      </c>
      <c r="B35" s="441"/>
      <c r="C35" s="441"/>
      <c r="D35" s="441"/>
      <c r="E35" s="441"/>
      <c r="F35" s="439"/>
      <c r="G35" s="368" t="s">
        <v>385</v>
      </c>
      <c r="H35" s="639"/>
      <c r="I35" s="641"/>
      <c r="J35" s="369"/>
      <c r="K35" s="439" t="s">
        <v>385</v>
      </c>
      <c r="L35" s="34"/>
      <c r="M35"/>
    </row>
    <row r="36" spans="1:14" ht="15" customHeight="1" x14ac:dyDescent="0.2">
      <c r="A36" s="116">
        <v>36</v>
      </c>
      <c r="B36" s="441"/>
      <c r="C36" s="441"/>
      <c r="D36" s="441"/>
      <c r="E36" s="441"/>
      <c r="F36" s="439"/>
      <c r="G36" s="368" t="s">
        <v>385</v>
      </c>
      <c r="H36" s="639"/>
      <c r="I36" s="641"/>
      <c r="J36" s="369"/>
      <c r="K36" s="439" t="s">
        <v>385</v>
      </c>
      <c r="L36" s="34"/>
      <c r="M36"/>
    </row>
    <row r="37" spans="1:14" ht="15" customHeight="1" x14ac:dyDescent="0.2">
      <c r="A37" s="116">
        <v>37</v>
      </c>
      <c r="B37" s="441"/>
      <c r="C37" s="441"/>
      <c r="D37" s="441"/>
      <c r="E37" s="441"/>
      <c r="F37" s="439"/>
      <c r="G37" s="368" t="s">
        <v>385</v>
      </c>
      <c r="H37" s="639"/>
      <c r="I37" s="641"/>
      <c r="J37" s="369"/>
      <c r="K37" s="439" t="s">
        <v>385</v>
      </c>
      <c r="L37" s="34"/>
      <c r="M37"/>
    </row>
    <row r="38" spans="1:14" s="228" customFormat="1" ht="15" customHeight="1" x14ac:dyDescent="0.2">
      <c r="A38" s="116">
        <v>38</v>
      </c>
      <c r="B38" s="441"/>
      <c r="C38" s="441"/>
      <c r="D38" s="441"/>
      <c r="E38" s="441"/>
      <c r="F38" s="316" t="s">
        <v>655</v>
      </c>
      <c r="G38" s="441"/>
      <c r="H38" s="441"/>
      <c r="I38" s="441"/>
      <c r="J38" s="441"/>
      <c r="K38" s="441"/>
      <c r="L38" s="34"/>
      <c r="N38" s="375"/>
    </row>
    <row r="39" spans="1:14" x14ac:dyDescent="0.2">
      <c r="A39" s="39"/>
      <c r="B39" s="41"/>
      <c r="C39" s="41"/>
      <c r="D39" s="41"/>
      <c r="E39" s="41"/>
      <c r="F39" s="41"/>
      <c r="G39" s="41"/>
      <c r="H39" s="41"/>
      <c r="I39" s="41"/>
      <c r="J39" s="41"/>
      <c r="K39" s="41"/>
      <c r="L39" s="47"/>
      <c r="M39"/>
      <c r="N39" s="376"/>
    </row>
    <row r="40" spans="1:14" s="6" customFormat="1" x14ac:dyDescent="0.2">
      <c r="A40" s="103"/>
      <c r="B40" s="103"/>
      <c r="C40" s="103"/>
      <c r="D40" s="103"/>
      <c r="E40" s="103"/>
      <c r="F40" s="103"/>
      <c r="G40" s="103"/>
      <c r="H40" s="103"/>
      <c r="I40" s="103"/>
      <c r="J40" s="103"/>
      <c r="K40" s="103"/>
      <c r="L40" s="103"/>
      <c r="N40" s="376"/>
    </row>
    <row r="41" spans="1:14" s="6" customFormat="1" x14ac:dyDescent="0.2">
      <c r="A41" s="103"/>
      <c r="B41" s="103"/>
      <c r="C41" s="103"/>
      <c r="D41" s="103"/>
      <c r="E41" s="103"/>
      <c r="F41" s="103"/>
      <c r="G41" s="103"/>
      <c r="H41" s="103"/>
      <c r="I41" s="103"/>
      <c r="J41" s="103"/>
      <c r="K41" s="103"/>
      <c r="L41" s="103"/>
      <c r="N41" s="376"/>
    </row>
    <row r="42" spans="1:14" s="6" customFormat="1" x14ac:dyDescent="0.2">
      <c r="A42" s="103"/>
      <c r="B42" s="103"/>
      <c r="C42" s="103"/>
      <c r="D42" s="103"/>
      <c r="E42" s="103"/>
      <c r="F42" s="103"/>
      <c r="G42" s="103"/>
      <c r="H42" s="103"/>
      <c r="I42" s="103"/>
      <c r="J42" s="103"/>
      <c r="K42" s="103"/>
      <c r="L42" s="103"/>
      <c r="N42" s="376"/>
    </row>
    <row r="43" spans="1:14" x14ac:dyDescent="0.2">
      <c r="N43" s="376"/>
    </row>
    <row r="44" spans="1:14" x14ac:dyDescent="0.2">
      <c r="N44" s="376"/>
    </row>
    <row r="45" spans="1:14" x14ac:dyDescent="0.2">
      <c r="N45" s="376"/>
    </row>
    <row r="46" spans="1:14" x14ac:dyDescent="0.2">
      <c r="N46" s="376"/>
    </row>
    <row r="47" spans="1:14" x14ac:dyDescent="0.2">
      <c r="N47" s="376"/>
    </row>
    <row r="48" spans="1:14" x14ac:dyDescent="0.2">
      <c r="N48" s="376"/>
    </row>
    <row r="49" spans="14:14" x14ac:dyDescent="0.2">
      <c r="N49" s="376"/>
    </row>
    <row r="50" spans="14:14" x14ac:dyDescent="0.2">
      <c r="N50" s="376"/>
    </row>
    <row r="51" spans="14:14" x14ac:dyDescent="0.2">
      <c r="N51" s="376"/>
    </row>
    <row r="52" spans="14:14" x14ac:dyDescent="0.2">
      <c r="N52" s="376"/>
    </row>
    <row r="53" spans="14:14" x14ac:dyDescent="0.2">
      <c r="N53" s="376"/>
    </row>
    <row r="54" spans="14:14" x14ac:dyDescent="0.2">
      <c r="N54" s="376"/>
    </row>
    <row r="55" spans="14:14" x14ac:dyDescent="0.2">
      <c r="N55" s="376"/>
    </row>
    <row r="56" spans="14:14" x14ac:dyDescent="0.2">
      <c r="N56" s="376"/>
    </row>
    <row r="57" spans="14:14" x14ac:dyDescent="0.2">
      <c r="N57" s="376"/>
    </row>
    <row r="58" spans="14:14" x14ac:dyDescent="0.2">
      <c r="N58" s="376"/>
    </row>
    <row r="59" spans="14:14" x14ac:dyDescent="0.2">
      <c r="N59" s="376"/>
    </row>
    <row r="60" spans="14:14" x14ac:dyDescent="0.2">
      <c r="N60" s="376"/>
    </row>
    <row r="61" spans="14:14" x14ac:dyDescent="0.2">
      <c r="N61" s="376"/>
    </row>
    <row r="62" spans="14:14" x14ac:dyDescent="0.2">
      <c r="N62" s="376"/>
    </row>
  </sheetData>
  <sheetProtection formatRows="0" insertRows="0"/>
  <customSheetViews>
    <customSheetView guid="{21F2E024-704F-4E93-AC63-213755ECFFE0}" scale="70" showPageBreaks="1" showGridLines="0" fitToPage="1" printArea="1" view="pageBreakPreview">
      <pane ySplit="6" topLeftCell="A7" activePane="bottomLeft" state="frozen"/>
      <selection pane="bottomLeft" activeCell="H34" sqref="H34"/>
      <pageMargins left="0.70866141732283472" right="0.70866141732283472" top="0.74803149606299213" bottom="0.74803149606299213" header="0.31496062992125984" footer="0.31496062992125984"/>
      <pageSetup paperSize="9" scale="57" fitToHeight="10" orientation="portrait" r:id="rId1"/>
      <headerFooter alignWithMargins="0">
        <oddHeader>&amp;C&amp;"Arial"&amp;10 Commerce Commission Information Disclosure Template</oddHeader>
        <oddFooter>&amp;L&amp;"Arial"&amp;10 &amp;F&amp;C&amp;"Arial"&amp;10 &amp;A&amp;R&amp;"Arial"&amp;10 &amp;P</oddFooter>
      </headerFooter>
    </customSheetView>
  </customSheetViews>
  <mergeCells count="26">
    <mergeCell ref="H25:I25"/>
    <mergeCell ref="H26:I26"/>
    <mergeCell ref="H33:I33"/>
    <mergeCell ref="H34:I34"/>
    <mergeCell ref="H35:I35"/>
    <mergeCell ref="H27:I27"/>
    <mergeCell ref="H28:I28"/>
    <mergeCell ref="H29:I29"/>
    <mergeCell ref="H36:I36"/>
    <mergeCell ref="H30:I30"/>
    <mergeCell ref="H31:I31"/>
    <mergeCell ref="H37:I37"/>
    <mergeCell ref="H32:I32"/>
    <mergeCell ref="H22:I22"/>
    <mergeCell ref="H19:K19"/>
    <mergeCell ref="H20:K20"/>
    <mergeCell ref="H23:I23"/>
    <mergeCell ref="H24:I24"/>
    <mergeCell ref="H18:K18"/>
    <mergeCell ref="I2:K2"/>
    <mergeCell ref="I3:K3"/>
    <mergeCell ref="H15:K15"/>
    <mergeCell ref="H16:K16"/>
    <mergeCell ref="H17:K17"/>
    <mergeCell ref="H14:K14"/>
    <mergeCell ref="A5:K5"/>
  </mergeCells>
  <dataValidations count="4">
    <dataValidation allowBlank="1" showInputMessage="1" showErrorMessage="1" prompt="Please enter text" sqref="F15:F19 F23:F37 H15:H19 H23:H37"/>
    <dataValidation type="list" allowBlank="1" showInputMessage="1" showErrorMessage="1" prompt="Please select from available drop-down options" sqref="G23:G37">
      <formula1>"Opex,Sales,Capex,[Select one]"</formula1>
    </dataValidation>
    <dataValidation allowBlank="1" showInputMessage="1" sqref="F38:G38"/>
    <dataValidation type="list" allowBlank="1" showInputMessage="1" showErrorMessage="1" prompt="Please enter text" sqref="K23:K37">
      <formula1>dd_Basis</formula1>
    </dataValidation>
  </dataValidations>
  <pageMargins left="0.70866141732283472" right="0.70866141732283472" top="0.74803149606299213" bottom="0.74803149606299213" header="0.31496062992125984" footer="0.31496062992125984"/>
  <pageSetup paperSize="9" scale="65" fitToWidth="0" fitToHeight="0" orientation="landscape" r:id="rId2"/>
  <headerFooter alignWithMargins="0">
    <oddHeader>&amp;CCommerce Commission Information Disclosure Template</oddHead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CoverSheet</vt:lpstr>
      <vt:lpstr>TOC</vt:lpstr>
      <vt:lpstr>Instructions</vt:lpstr>
      <vt:lpstr>S1.Analytical Ratios</vt:lpstr>
      <vt:lpstr>S2.Return on Investment</vt:lpstr>
      <vt:lpstr>S3.Regulatory Profit</vt:lpstr>
      <vt:lpstr>S4.RAB Value (Rolled Forward)</vt:lpstr>
      <vt:lpstr>S5a.Regulatory Tax Allowance</vt:lpstr>
      <vt:lpstr>S5b.Related Party Transactions</vt:lpstr>
      <vt:lpstr>S5c.TCSD Allowance</vt:lpstr>
      <vt:lpstr>S5d.Cost Allocations</vt:lpstr>
      <vt:lpstr>S5e.Asset Allocations</vt:lpstr>
      <vt:lpstr>S6a.Actual Expenditure Capex</vt:lpstr>
      <vt:lpstr>S6b.Actual Expenditure Opex</vt:lpstr>
      <vt:lpstr>S7.Actual vs Forecast</vt:lpstr>
      <vt:lpstr>S8.Billed Quantities+Revenues</vt:lpstr>
      <vt:lpstr>S9a.Asset Register</vt:lpstr>
      <vt:lpstr>S9b.Asset Age Profile</vt:lpstr>
      <vt:lpstr>S9c.Overhead Lines</vt:lpstr>
      <vt:lpstr>S9d.Embedded Networks</vt:lpstr>
      <vt:lpstr>S9e.Demand</vt:lpstr>
      <vt:lpstr>S10.Reliability</vt:lpstr>
      <vt:lpstr>dd_Basis</vt:lpstr>
      <vt:lpstr>CoverSheet!Print_Area</vt:lpstr>
      <vt:lpstr>Instructions!Print_Area</vt:lpstr>
      <vt:lpstr>'S1.Analytical Ratios'!Print_Area</vt:lpstr>
      <vt:lpstr>S10.Reliability!Print_Area</vt:lpstr>
      <vt:lpstr>'S2.Return on Investment'!Print_Area</vt:lpstr>
      <vt:lpstr>'S3.Regulatory Profit'!Print_Area</vt:lpstr>
      <vt:lpstr>'S4.RAB Value (Rolled Forward)'!Print_Area</vt:lpstr>
      <vt:lpstr>'S5a.Regulatory Tax Allowance'!Print_Area</vt:lpstr>
      <vt:lpstr>'S5b.Related Party Transactions'!Print_Area</vt:lpstr>
      <vt:lpstr>'S5c.TCSD Allowance'!Print_Area</vt:lpstr>
      <vt:lpstr>'S5d.Cost Allocations'!Print_Area</vt:lpstr>
      <vt:lpstr>'S5e.Asset Allocations'!Print_Area</vt:lpstr>
      <vt:lpstr>'S6a.Actual Expenditure Capex'!Print_Area</vt:lpstr>
      <vt:lpstr>'S6b.Actual Expenditure Opex'!Print_Area</vt:lpstr>
      <vt:lpstr>'S7.Actual vs Forecast'!Print_Area</vt:lpstr>
      <vt:lpstr>'S8.Billed Quantities+Revenues'!Print_Area</vt:lpstr>
      <vt:lpstr>'S9a.Asset Register'!Print_Area</vt:lpstr>
      <vt:lpstr>'S9b.Asset Age Profile'!Print_Area</vt:lpstr>
      <vt:lpstr>'S9c.Overhead Lines'!Print_Area</vt:lpstr>
      <vt:lpstr>'S9d.Embedded Networks'!Print_Area</vt:lpstr>
      <vt:lpstr>S9e.Demand!Print_Area</vt:lpstr>
      <vt:lpstr>TOC!Print_Area</vt:lpstr>
      <vt:lpstr>'S1.Analytical Ratios'!Print_Titles</vt:lpstr>
      <vt:lpstr>S10.Reliability!Print_Titles</vt:lpstr>
      <vt:lpstr>'S2.Return on Investment'!Print_Titles</vt:lpstr>
      <vt:lpstr>'S3.Regulatory Profit'!Print_Titles</vt:lpstr>
      <vt:lpstr>'S4.RAB Value (Rolled Forward)'!Print_Titles</vt:lpstr>
      <vt:lpstr>'S5a.Regulatory Tax Allowance'!Print_Titles</vt:lpstr>
      <vt:lpstr>'S5b.Related Party Transactions'!Print_Titles</vt:lpstr>
      <vt:lpstr>'S5c.TCSD Allowance'!Print_Titles</vt:lpstr>
      <vt:lpstr>'S5d.Cost Allocations'!Print_Titles</vt:lpstr>
      <vt:lpstr>'S5e.Asset Allocations'!Print_Titles</vt:lpstr>
      <vt:lpstr>'S6a.Actual Expenditure Capex'!Print_Titles</vt:lpstr>
      <vt:lpstr>'S6b.Actual Expenditure Opex'!Print_Titles</vt:lpstr>
      <vt:lpstr>'S7.Actual vs Forecast'!Print_Titles</vt:lpstr>
      <vt:lpstr>'S8.Billed Quantities+Revenues'!Print_Titles</vt:lpstr>
      <vt:lpstr>'S9a.Asset Register'!Print_Titles</vt:lpstr>
      <vt:lpstr>'S9b.Asset Age Profile'!Print_Titles</vt:lpstr>
      <vt:lpstr>'S9c.Overhead Lines'!Print_Titles</vt:lpstr>
      <vt:lpstr>'S9d.Embedded Networks'!Print_Titles</vt:lpstr>
      <vt:lpstr>S9e.Demand!Print_Titles</vt:lpstr>
    </vt:vector>
  </TitlesOfParts>
  <Company>Commerce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EDB Information Disclosure Templates Draft 16 Jan</dc:title>
  <dc:creator>ComCom</dc:creator>
  <cp:lastModifiedBy>Rob Tweedie</cp:lastModifiedBy>
  <cp:lastPrinted>2015-03-22T23:55:00Z</cp:lastPrinted>
  <dcterms:created xsi:type="dcterms:W3CDTF">2010-01-15T02:39:26Z</dcterms:created>
  <dcterms:modified xsi:type="dcterms:W3CDTF">2018-08-17T03:56:00Z</dcterms:modified>
</cp:coreProperties>
</file>